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開催案内・様式）\02 様式等DL用\R6\02 最新の受託申込書\03 0123差替え\"/>
    </mc:Choice>
  </mc:AlternateContent>
  <bookViews>
    <workbookView xWindow="855" yWindow="300" windowWidth="11505" windowHeight="7200" tabRatio="909" firstSheet="3"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7月)" sheetId="105" r:id="rId21"/>
    <sheet name="１０月別カリキュラム(8月) " sheetId="154" r:id="rId22"/>
    <sheet name="１０月別カリキュラム(9月) " sheetId="155" r:id="rId23"/>
    <sheet name="１０月別カリキュラム(7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'１０月別カリキュラム(7月)'!$A$1:$AL$55</definedName>
    <definedName name="_xlnm.Print_Area" localSheetId="23">'１０月別カリキュラム(7月) (デュアル)'!$A$1:$AT$57</definedName>
    <definedName name="_xlnm.Print_Area" localSheetId="21">'１０月別カリキュラム(8月) '!$A$1:$AL$55</definedName>
    <definedName name="_xlnm.Print_Area" localSheetId="24">'１０月別カリキュラム(８月) (デュアル)'!$A$1:$AT$57</definedName>
    <definedName name="_xlnm.Print_Area" localSheetId="22">'１０月別カリキュラム(9月)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17" i="154"/>
  <c r="A7" i="154"/>
  <c r="AO4" i="154"/>
  <c r="AR10" i="154" s="1"/>
  <c r="AO3" i="154"/>
  <c r="AE1" i="154"/>
  <c r="M1" i="154"/>
  <c r="J15" i="153"/>
  <c r="H15" i="153"/>
  <c r="E15" i="153"/>
  <c r="C15" i="153"/>
  <c r="B26" i="153"/>
  <c r="L24" i="153"/>
  <c r="L19" i="153"/>
  <c r="AR9" i="154" l="1"/>
  <c r="AT9" i="154"/>
  <c r="AT10" i="154"/>
  <c r="AR9" i="155"/>
  <c r="U7" i="155" s="1"/>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B17" i="155"/>
  <c r="Y17" i="155"/>
  <c r="AK52" i="155"/>
  <c r="C55" i="155"/>
  <c r="G17" i="155"/>
  <c r="AE17" i="155"/>
  <c r="AK49" i="155"/>
  <c r="I55" i="155"/>
  <c r="U55" i="155"/>
  <c r="AG55" i="155"/>
  <c r="AK53" i="155"/>
  <c r="U7" i="154"/>
  <c r="A18" i="154"/>
  <c r="B17" i="154"/>
  <c r="M17" i="154"/>
  <c r="Y17" i="154"/>
  <c r="AK52" i="154"/>
  <c r="C55" i="154"/>
  <c r="A16" i="154"/>
  <c r="G17" i="154"/>
  <c r="S17" i="154"/>
  <c r="AE17" i="154"/>
  <c r="AK49" i="154"/>
  <c r="I55" i="154"/>
  <c r="U55" i="154"/>
  <c r="AG55" i="154"/>
  <c r="AK53" i="154"/>
  <c r="S17" i="155" l="1"/>
  <c r="A16" i="155"/>
  <c r="M17" i="155"/>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Y18" i="154"/>
  <c r="Z17" i="154"/>
  <c r="Y16" i="154"/>
  <c r="S18" i="154"/>
  <c r="T17" i="154"/>
  <c r="S16" i="154"/>
  <c r="M18" i="154"/>
  <c r="N17" i="154"/>
  <c r="M16" i="154"/>
  <c r="A19" i="154"/>
  <c r="B18" i="154"/>
  <c r="I18" i="156" l="1"/>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O9" i="155"/>
  <c r="AL36" i="155"/>
  <c r="AU3" i="155"/>
  <c r="AL24" i="155"/>
  <c r="AL25" i="155"/>
  <c r="AL26" i="155"/>
  <c r="AL28" i="155"/>
  <c r="AU4" i="155"/>
  <c r="AL23" i="155"/>
  <c r="AL27" i="155"/>
  <c r="AL21" i="155"/>
  <c r="AL28" i="154"/>
  <c r="AL24" i="154"/>
  <c r="AL25" i="154"/>
  <c r="AL26" i="154"/>
  <c r="AU4" i="154"/>
  <c r="AL23" i="154"/>
  <c r="AL27" i="154"/>
  <c r="AL19" i="154"/>
  <c r="AL20" i="154"/>
  <c r="AL17" i="154"/>
  <c r="AL18" i="154"/>
  <c r="AL22" i="154"/>
  <c r="AL36" i="154"/>
  <c r="O9" i="154"/>
  <c r="AU3" i="154"/>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K10" i="122"/>
  <c r="G21" i="148"/>
  <c r="F21" i="148"/>
  <c r="K15" i="20"/>
  <c r="K18" i="20"/>
  <c r="E18" i="20" s="1"/>
  <c r="M15" i="20"/>
  <c r="N15" i="20" s="1"/>
  <c r="AL19" i="105"/>
  <c r="AC18" i="122"/>
  <c r="AC16" i="122"/>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AT23" i="107" l="1"/>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O9" i="105"/>
  <c r="AU3" i="105"/>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 xml:space="preserve">、「スキル項目・学習項目チェックシート」に記載のある学習項目例が盛り込まれていることを確認し易いよう、なるべくチェックシートに記載のある学習項目例と同じ表現を使って記載してください。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<sst xmlns="http://schemas.openxmlformats.org/spreadsheetml/2006/main" count="3558" uniqueCount="1164">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</sst>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2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179"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369" xfId="0" applyFont="1" applyBorder="1" applyAlignment="1">
      <alignment horizontal="center" vertical="center" shrinkToFit="1"/>
    </xf>
    <xf numFmtId="0" fontId="11" fillId="0" borderId="77" xfId="0" applyFont="1" applyBorder="1" applyAlignment="1">
      <alignment horizontal="center" vertical="center" shrinkToFit="1"/>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11" fillId="0" borderId="380"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232"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219" xfId="0" applyNumberFormat="1" applyFont="1" applyBorder="1" applyAlignment="1">
      <alignment horizontal="center" vertical="center"/>
    </xf>
    <xf numFmtId="0" fontId="11" fillId="0" borderId="163" xfId="0"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3" fillId="0" borderId="77" xfId="0" applyFont="1" applyBorder="1" applyAlignment="1">
      <alignment horizontal="center" vertical="center"/>
    </xf>
    <xf numFmtId="0" fontId="13" fillId="0" borderId="232"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19" xfId="0" applyFont="1" applyBorder="1" applyAlignment="1">
      <alignment horizontal="center" vertical="center" wrapText="1"/>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232"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4" fillId="0" borderId="0" xfId="0" applyFont="1" applyBorder="1" applyAlignment="1">
      <alignment horizontal="center" vertical="center"/>
    </xf>
    <xf numFmtId="0" fontId="0" fillId="0" borderId="41" xfId="0" applyBorder="1" applyAlignment="1">
      <alignment horizontal="left" vertical="center" wrapText="1"/>
    </xf>
    <xf numFmtId="0" fontId="0" fillId="0" borderId="169" xfId="0" applyBorder="1" applyAlignment="1">
      <alignment vertical="center" wrapText="1"/>
    </xf>
    <xf numFmtId="0" fontId="0" fillId="0" borderId="41"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73" xfId="0"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352" xfId="0" applyFill="1"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169" xfId="0" applyBorder="1" applyAlignment="1">
      <alignment horizontal="left" vertical="center" wrapText="1"/>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42" xfId="0" applyFont="1" applyBorder="1" applyAlignment="1">
      <alignment horizontal="left" vertical="center" wrapText="1"/>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41" xfId="0" applyFont="1" applyBorder="1" applyAlignment="1">
      <alignment horizontal="center" vertical="center" wrapText="1"/>
    </xf>
    <xf numFmtId="0" fontId="6" fillId="0" borderId="4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5" xfId="0"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0" fillId="0" borderId="277" xfId="0" applyFill="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0" fillId="12" borderId="447" xfId="2" applyFon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6" fillId="0" borderId="0" xfId="1" applyFont="1" applyFill="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0" borderId="129" xfId="2" applyFont="1" applyFill="1" applyBorder="1" applyAlignment="1" applyProtection="1">
      <alignment horizontal="center" vertical="center"/>
    </xf>
    <xf numFmtId="0" fontId="1" fillId="0" borderId="130" xfId="2" applyFont="1" applyFill="1" applyBorder="1" applyAlignment="1" applyProtection="1">
      <alignment horizontal="center" vertical="center"/>
    </xf>
    <xf numFmtId="0" fontId="1"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290" xfId="2" applyFont="1" applyFill="1" applyBorder="1" applyAlignment="1" applyProtection="1">
      <alignment vertical="center" shrinkToFit="1"/>
    </xf>
    <xf numFmtId="0" fontId="1" fillId="12" borderId="94" xfId="2" applyFont="1" applyFill="1" applyBorder="1" applyAlignment="1" applyProtection="1">
      <alignment vertical="center" shrinkToFit="1"/>
    </xf>
    <xf numFmtId="0" fontId="0" fillId="12" borderId="307"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0" xfId="0" applyFont="1" applyFill="1" applyBorder="1" applyAlignment="1">
      <alignment horizontal="center" vertical="center"/>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4">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1</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離職者等再就職訓練（６箇月）</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
      </c>
      <c r="EN2" s="1153" t="str">
        <f>I163</f>
        <v/>
      </c>
      <c r="EO2" s="1153" t="str">
        <f>I164</f>
        <v/>
      </c>
      <c r="EP2" s="1153" t="str">
        <f>I165</f>
        <v>対象外</v>
      </c>
      <c r="EQ2" s="1153" t="str">
        <f>I166</f>
        <v>対象外</v>
      </c>
      <c r="ER2" s="1153" t="str">
        <f>I167</f>
        <v>対象外</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t="str">
        <f>I192</f>
        <v/>
      </c>
      <c r="FR2" s="1153" t="str">
        <f>I193</f>
        <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t="str">
        <f>I211</f>
        <v/>
      </c>
      <c r="GK2" s="1153" t="str">
        <f>I212</f>
        <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離職者等再就職訓練（６箇月）</v>
      </c>
      <c r="E11" s="1100"/>
      <c r="F11" t="s">
        <v>790</v>
      </c>
    </row>
    <row r="12" spans="1:232" ht="14.25" thickBot="1">
      <c r="A12" t="s">
        <v>799</v>
      </c>
      <c r="E12" s="1101"/>
      <c r="F12" t="s">
        <v>792</v>
      </c>
    </row>
    <row r="13" spans="1:232" ht="14.25" thickBot="1">
      <c r="A13" s="1121" t="str">
        <f>VLOOKUP($A$11,祝日!$K$3:$Z$25,15,FALSE)</f>
        <v>離</v>
      </c>
      <c r="E13" s="1102"/>
    </row>
    <row r="14" spans="1:232" ht="14.25" thickBot="1">
      <c r="A14" t="s">
        <v>786</v>
      </c>
      <c r="E14" s="1103"/>
    </row>
    <row r="15" spans="1:232" ht="14.25" thickBot="1">
      <c r="A15" s="1121">
        <f>VLOOKUP($A$11,祝日!$K$3:$Z$25,14,FALSE)</f>
        <v>1</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1</v>
      </c>
      <c r="F21" s="1090">
        <f t="shared" si="0"/>
        <v>1</v>
      </c>
      <c r="G21" s="1091">
        <f t="shared" si="0"/>
        <v>1</v>
      </c>
      <c r="I21" s="1119">
        <f>IF($A$13="デュ",$F21,$E21)</f>
        <v>1</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離職者等再就職訓練（６箇月）</v>
      </c>
      <c r="F124" s="661" t="str">
        <f>IF('４訓練の概要'!$D7="","",'４訓練の概要'!$D7)</f>
        <v>離職者等再就職訓練（６箇月）</v>
      </c>
      <c r="G124" s="1108" t="str">
        <f>IF('４訓練の概要'!$D7="","",'４訓練の概要'!$D7)</f>
        <v>離職者等再就職訓練（６箇月）</v>
      </c>
      <c r="I124" s="665" t="str">
        <f t="shared" si="2"/>
        <v>離職者等再就職訓練（６箇月）</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
      </c>
      <c r="F162" s="661" t="str">
        <f>IF('４訓練の概要'!$D45="","",'４訓練の概要'!$D45)</f>
        <v/>
      </c>
      <c r="G162" s="1108" t="str">
        <f>IF('４訓練の概要'!$D45="","",'４訓練の概要'!$D45)</f>
        <v/>
      </c>
      <c r="I162" s="665" t="str">
        <f t="shared" si="3"/>
        <v/>
      </c>
      <c r="J162" s="3"/>
      <c r="K162" s="1087"/>
      <c r="L162" t="s">
        <v>795</v>
      </c>
    </row>
    <row r="163" spans="1:12">
      <c r="A163" s="665"/>
      <c r="B163" s="3"/>
      <c r="C163" s="3" t="s">
        <v>194</v>
      </c>
      <c r="D163" s="1087" t="s">
        <v>940</v>
      </c>
      <c r="E163" s="660" t="str">
        <f>IF('４訓練の概要'!$D46="","",'４訓練の概要'!$D46)</f>
        <v/>
      </c>
      <c r="F163" s="661" t="str">
        <f>IF('４訓練の概要'!$D46="","",'４訓練の概要'!$D46)</f>
        <v/>
      </c>
      <c r="G163" s="1108" t="str">
        <f>IF('４訓練の概要'!$D46="","",'４訓練の概要'!$D46)</f>
        <v/>
      </c>
      <c r="I163" s="665" t="str">
        <f t="shared" si="3"/>
        <v/>
      </c>
      <c r="J163" s="3"/>
      <c r="K163" s="1087"/>
      <c r="L163" t="s">
        <v>795</v>
      </c>
    </row>
    <row r="164" spans="1:12">
      <c r="A164" s="665"/>
      <c r="B164" s="3"/>
      <c r="C164" s="3" t="s">
        <v>347</v>
      </c>
      <c r="D164" s="1087" t="s">
        <v>941</v>
      </c>
      <c r="E164" s="660" t="str">
        <f>IF('４訓練の概要'!$D47="","",'４訓練の概要'!$D47)</f>
        <v/>
      </c>
      <c r="F164" s="661" t="str">
        <f>IF('４訓練の概要'!$D47="","",'４訓練の概要'!$D47)</f>
        <v/>
      </c>
      <c r="G164" s="1108" t="str">
        <f>IF('４訓練の概要'!$D47="","",'４訓練の概要'!$D47)</f>
        <v/>
      </c>
      <c r="I164" s="665" t="str">
        <f t="shared" si="3"/>
        <v/>
      </c>
      <c r="J164" s="3"/>
      <c r="K164" s="1087"/>
      <c r="L164" t="s">
        <v>795</v>
      </c>
    </row>
    <row r="165" spans="1:12">
      <c r="A165" s="665"/>
      <c r="B165" s="3"/>
      <c r="C165" s="3" t="s">
        <v>195</v>
      </c>
      <c r="D165" s="1087" t="s">
        <v>942</v>
      </c>
      <c r="E165" s="660" t="str">
        <f>IF('４訓練の概要'!$D48="","",'４訓練の概要'!$D48)</f>
        <v>対象外</v>
      </c>
      <c r="F165" s="661" t="str">
        <f>IF('４訓練の概要'!$D48="","",'４訓練の概要'!$D48)</f>
        <v>対象外</v>
      </c>
      <c r="G165" s="1108" t="str">
        <f>IF('４訓練の概要'!$D48="","",'４訓練の概要'!$D48)</f>
        <v>対象外</v>
      </c>
      <c r="I165" s="665" t="str">
        <f t="shared" si="3"/>
        <v>対象外</v>
      </c>
      <c r="J165" s="3"/>
      <c r="K165" s="1087"/>
      <c r="L165" t="s">
        <v>795</v>
      </c>
    </row>
    <row r="166" spans="1:12">
      <c r="A166" s="665"/>
      <c r="B166" s="3"/>
      <c r="C166" s="3" t="s">
        <v>268</v>
      </c>
      <c r="D166" s="1087" t="s">
        <v>943</v>
      </c>
      <c r="E166" s="660" t="str">
        <f>IF('４訓練の概要'!$D49="","",'４訓練の概要'!$D49)</f>
        <v>対象外</v>
      </c>
      <c r="F166" s="661" t="str">
        <f>IF('４訓練の概要'!$D49="","",'４訓練の概要'!$D49)</f>
        <v>対象外</v>
      </c>
      <c r="G166" s="1108" t="str">
        <f>IF('４訓練の概要'!$D49="","",'４訓練の概要'!$D49)</f>
        <v>対象外</v>
      </c>
      <c r="I166" s="665" t="str">
        <f t="shared" si="3"/>
        <v>対象外</v>
      </c>
      <c r="J166" s="3"/>
      <c r="K166" s="1087"/>
      <c r="L166" t="s">
        <v>795</v>
      </c>
    </row>
    <row r="167" spans="1:12">
      <c r="A167" s="665"/>
      <c r="B167" s="3"/>
      <c r="C167" s="3" t="s">
        <v>348</v>
      </c>
      <c r="D167" s="1087" t="s">
        <v>944</v>
      </c>
      <c r="E167" s="660" t="str">
        <f>IF('４訓練の概要'!$D50="","",'４訓練の概要'!$D50)</f>
        <v>対象外</v>
      </c>
      <c r="F167" s="661" t="str">
        <f>IF('４訓練の概要'!$D50="","",'４訓練の概要'!$D50)</f>
        <v>対象外</v>
      </c>
      <c r="G167" s="1108" t="str">
        <f>IF('４訓練の概要'!$D50="","",'４訓練の概要'!$D50)</f>
        <v>対象外</v>
      </c>
      <c r="I167" s="665" t="str">
        <f t="shared" si="3"/>
        <v>対象外</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t="str">
        <f t="shared" si="3"/>
        <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t="str">
        <f t="shared" si="3"/>
        <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t="str">
        <f t="shared" si="3"/>
        <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t="str">
        <f t="shared" si="3"/>
        <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IF('１０月別カリキュラム(7月)'!A12="","",'１０月別カリキュラム(7月)'!A12)</f>
        <v/>
      </c>
      <c r="F236" s="1134" t="str">
        <f>IF('１０月別カリキュラム(7月)'!A12="","",'１０月別カリキュラム(7月)'!A12)</f>
        <v/>
      </c>
      <c r="G236" s="1135" t="str">
        <f>IF('１０月別カリキュラム(7月)'!A12="","",'１０月別カリキュラム(7月)'!A12)</f>
        <v/>
      </c>
      <c r="H236" s="1105"/>
      <c r="I236" s="1136" t="str">
        <f t="shared" si="4"/>
        <v/>
      </c>
      <c r="J236" s="1137"/>
      <c r="K236" s="1138"/>
      <c r="L236" t="s">
        <v>796</v>
      </c>
    </row>
    <row r="237" spans="1:12">
      <c r="A237" s="665" t="s">
        <v>1135</v>
      </c>
      <c r="B237" s="3" t="s">
        <v>727</v>
      </c>
      <c r="C237" s="3" t="s">
        <v>1091</v>
      </c>
      <c r="D237" s="95" t="s">
        <v>1092</v>
      </c>
      <c r="E237" s="660" t="str">
        <f>IF('１０月別カリキュラム(8月) '!A12="","",'１０月別カリキュラム(8月) '!A12)</f>
        <v/>
      </c>
      <c r="F237" s="661" t="str">
        <f>IF('１０月別カリキュラム(8月) '!A12="","",'１０月別カリキュラム(8月) '!A12)</f>
        <v/>
      </c>
      <c r="G237" s="1108" t="str">
        <f>IF('１０月別カリキュラム(8月) '!A12="","",'１０月別カリキュラム(8月) '!A12)</f>
        <v/>
      </c>
      <c r="I237" s="665" t="str">
        <f t="shared" si="4"/>
        <v/>
      </c>
      <c r="J237" s="3"/>
      <c r="K237" s="1087"/>
      <c r="L237" t="s">
        <v>796</v>
      </c>
    </row>
    <row r="238" spans="1:12">
      <c r="A238" s="665" t="s">
        <v>1136</v>
      </c>
      <c r="B238" s="3" t="s">
        <v>727</v>
      </c>
      <c r="C238" s="3" t="s">
        <v>1091</v>
      </c>
      <c r="D238" s="95" t="s">
        <v>1092</v>
      </c>
      <c r="E238" s="660" t="str">
        <f>IF('１０月別カリキュラム(9月) '!A12="","",'１０月別カリキュラム(9月) '!A12)</f>
        <v/>
      </c>
      <c r="F238" s="661" t="str">
        <f>IF('１０月別カリキュラム(9月) '!A12="","",'１０月別カリキュラム(9月) '!A12)</f>
        <v/>
      </c>
      <c r="G238" s="1108" t="str">
        <f>IF('１０月別カリキュラム(9月) '!A12="","",'１０月別カリキュラム(9月)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5" sqref="D15"/>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11" t="s">
        <v>443</v>
      </c>
      <c r="C3" s="1512"/>
      <c r="D3" s="1202" t="str">
        <f>Data!$A$11</f>
        <v>離職者等再就職訓練（６箇月）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11"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34" t="s">
        <v>567</v>
      </c>
      <c r="C14" s="1534"/>
      <c r="D14" s="640"/>
      <c r="E14" s="635"/>
      <c r="H14" s="1530" t="s">
        <v>419</v>
      </c>
      <c r="I14" s="1531"/>
      <c r="J14" s="1531"/>
      <c r="K14" s="1531"/>
      <c r="L14" s="1531"/>
      <c r="M14" s="1531"/>
      <c r="N14" s="1531"/>
      <c r="O14" s="1531"/>
      <c r="P14" s="1532"/>
    </row>
    <row r="15" spans="1:18" s="3" customFormat="1" ht="50.45" customHeight="1" thickTop="1" thickBot="1">
      <c r="B15" s="1541" t="s">
        <v>721</v>
      </c>
      <c r="C15" s="1542"/>
      <c r="D15" s="1487"/>
      <c r="E15" s="616" t="s">
        <v>804</v>
      </c>
      <c r="H15" s="1543" t="s">
        <v>670</v>
      </c>
      <c r="I15" s="1544"/>
      <c r="J15" s="1544"/>
      <c r="K15" s="1544"/>
      <c r="L15" s="1544"/>
      <c r="M15" s="1544"/>
      <c r="N15" s="1544"/>
      <c r="O15" s="1544"/>
      <c r="P15" s="1545"/>
    </row>
    <row r="16" spans="1:18" s="3" customFormat="1" ht="12.6" customHeight="1">
      <c r="B16" s="625"/>
      <c r="C16" s="625"/>
      <c r="D16" s="634"/>
      <c r="E16" s="636"/>
      <c r="H16" s="4"/>
      <c r="I16" s="4"/>
      <c r="J16" s="4"/>
      <c r="K16" s="4"/>
      <c r="L16" s="4"/>
      <c r="M16" s="4"/>
      <c r="N16" s="4"/>
      <c r="O16" s="4"/>
      <c r="P16" s="4"/>
    </row>
    <row r="17" spans="2:16" ht="20.45" customHeight="1" thickBot="1">
      <c r="B17" s="1534" t="s">
        <v>570</v>
      </c>
      <c r="C17" s="1534"/>
      <c r="D17" s="617"/>
      <c r="E17" s="617"/>
    </row>
    <row r="18" spans="2:16" ht="20.45" customHeight="1" thickBot="1">
      <c r="B18" s="1511" t="s">
        <v>335</v>
      </c>
      <c r="C18" s="1512"/>
      <c r="D18" s="1222" t="str">
        <f>IF('４訓練の概要'!D13="","「4訓練の概要」シートに入力してください。",'４訓練の概要'!D13)</f>
        <v>「4訓練の概要」シートに入力してください。</v>
      </c>
      <c r="E18" s="434"/>
      <c r="H18" s="1734" t="s">
        <v>671</v>
      </c>
      <c r="I18" s="1735"/>
      <c r="J18" s="1735"/>
      <c r="K18" s="1735"/>
      <c r="L18" s="1735"/>
      <c r="M18" s="1735"/>
      <c r="N18" s="1735"/>
      <c r="O18" s="1735"/>
      <c r="P18" s="1736"/>
    </row>
    <row r="19" spans="2:16" ht="34.15" customHeight="1" thickTop="1">
      <c r="B19" s="1506" t="s">
        <v>571</v>
      </c>
      <c r="C19" s="1732"/>
      <c r="D19" s="1488"/>
      <c r="E19" s="593" t="s">
        <v>805</v>
      </c>
      <c r="H19" s="1518" t="s">
        <v>813</v>
      </c>
      <c r="I19" s="1705"/>
      <c r="J19" s="1705"/>
      <c r="K19" s="1705"/>
      <c r="L19" s="1705"/>
      <c r="M19" s="1705"/>
      <c r="N19" s="1705"/>
      <c r="O19" s="1705"/>
      <c r="P19" s="1706"/>
    </row>
    <row r="20" spans="2:16" ht="38.450000000000003" customHeight="1" thickBot="1">
      <c r="B20" s="1509" t="s">
        <v>812</v>
      </c>
      <c r="C20" s="1733"/>
      <c r="D20" s="1489"/>
      <c r="E20" s="621" t="s">
        <v>814</v>
      </c>
      <c r="H20" s="1527"/>
      <c r="I20" s="1528"/>
      <c r="J20" s="1528"/>
      <c r="K20" s="1528"/>
      <c r="L20" s="1528"/>
      <c r="M20" s="1528"/>
      <c r="N20" s="1528"/>
      <c r="O20" s="1528"/>
      <c r="P20" s="1529"/>
    </row>
    <row r="21" spans="2:16" ht="13.15" customHeight="1"/>
    <row r="22" spans="2:16" ht="14.25" thickBot="1">
      <c r="B22" s="1125" t="s">
        <v>811</v>
      </c>
    </row>
    <row r="23" spans="2:16" ht="25.9" customHeight="1">
      <c r="B23" s="1729" t="s">
        <v>820</v>
      </c>
      <c r="C23" s="1730"/>
      <c r="D23" s="1218" t="str">
        <f>IF('４訓練の概要'!D14="","",'４訓練の概要'!D14)</f>
        <v/>
      </c>
      <c r="E23" s="383"/>
      <c r="G23" s="1087"/>
      <c r="H23" s="1724" t="s">
        <v>977</v>
      </c>
      <c r="I23" s="1725"/>
      <c r="J23" s="1725"/>
      <c r="K23" s="1725"/>
      <c r="L23" s="1725"/>
      <c r="M23" s="1725"/>
      <c r="N23" s="1725"/>
      <c r="O23" s="1725"/>
      <c r="P23" s="1726"/>
    </row>
    <row r="24" spans="2:16" ht="25.9" customHeight="1" thickBot="1">
      <c r="B24" s="1710" t="s">
        <v>803</v>
      </c>
      <c r="C24" s="1731"/>
      <c r="D24" s="1219" t="str">
        <f>IF(D23="有",10000,IF(D23="無",0,""))</f>
        <v/>
      </c>
      <c r="E24" s="1126" t="s">
        <v>808</v>
      </c>
      <c r="G24" s="1087"/>
      <c r="H24" s="1710"/>
      <c r="I24" s="1727"/>
      <c r="J24" s="1727"/>
      <c r="K24" s="1727"/>
      <c r="L24" s="1727"/>
      <c r="M24" s="1727"/>
      <c r="N24" s="1727"/>
      <c r="O24" s="1727"/>
      <c r="P24" s="1728"/>
    </row>
    <row r="26" spans="2:16" ht="14.25" thickBot="1">
      <c r="B26" s="1125" t="s">
        <v>1007</v>
      </c>
    </row>
    <row r="27" spans="2:16" ht="25.9" customHeight="1">
      <c r="B27" s="1729" t="s">
        <v>806</v>
      </c>
      <c r="C27" s="1730"/>
      <c r="D27" s="1218" t="str">
        <f>IF('４訓練の概要'!D17="","",'４訓練の概要'!D17)</f>
        <v/>
      </c>
      <c r="E27" s="383"/>
      <c r="H27" s="1724" t="s">
        <v>978</v>
      </c>
      <c r="I27" s="1725"/>
      <c r="J27" s="1725"/>
      <c r="K27" s="1725"/>
      <c r="L27" s="1725"/>
      <c r="M27" s="1725"/>
      <c r="N27" s="1725"/>
      <c r="O27" s="1725"/>
      <c r="P27" s="1726"/>
    </row>
    <row r="28" spans="2:16" ht="25.9" customHeight="1" thickBot="1">
      <c r="B28" s="1722" t="s">
        <v>810</v>
      </c>
      <c r="C28" s="1723"/>
      <c r="D28" s="1220" t="str">
        <f>IF(D27="有",20000,IF(D27="無",0,""))</f>
        <v/>
      </c>
      <c r="E28" s="1132" t="s">
        <v>808</v>
      </c>
      <c r="H28" s="1710"/>
      <c r="I28" s="1727"/>
      <c r="J28" s="1727"/>
      <c r="K28" s="1727"/>
      <c r="L28" s="1727"/>
      <c r="M28" s="1727"/>
      <c r="N28" s="1727"/>
      <c r="O28" s="1727"/>
      <c r="P28" s="1728"/>
    </row>
  </sheetData>
  <sheetProtection sheet="1" formatCells="0" formatColumns="0" formatRows="0"/>
  <mergeCells count="22">
    <mergeCell ref="B3:C3"/>
    <mergeCell ref="B4:B6"/>
    <mergeCell ref="B8:B10"/>
    <mergeCell ref="B7:C7"/>
    <mergeCell ref="B12:C12"/>
    <mergeCell ref="B11:C11"/>
    <mergeCell ref="B19:C19"/>
    <mergeCell ref="B20:C20"/>
    <mergeCell ref="B15:C15"/>
    <mergeCell ref="H14:P14"/>
    <mergeCell ref="B14:C14"/>
    <mergeCell ref="B17:C17"/>
    <mergeCell ref="H19:P20"/>
    <mergeCell ref="B18:C18"/>
    <mergeCell ref="H15:P15"/>
    <mergeCell ref="H18:P18"/>
    <mergeCell ref="B28:C28"/>
    <mergeCell ref="H23:P24"/>
    <mergeCell ref="H27:P28"/>
    <mergeCell ref="B23:C23"/>
    <mergeCell ref="B24:C24"/>
    <mergeCell ref="B27:C2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G8" sqref="G8:H8"/>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11" t="s">
        <v>443</v>
      </c>
      <c r="C3" s="1512"/>
      <c r="D3" s="1202" t="str">
        <f>Data!$A$11</f>
        <v>離職者等再就職訓練（６箇月）</v>
      </c>
      <c r="E3" s="358"/>
    </row>
    <row r="4" spans="1:18" ht="19.899999999999999" customHeight="1">
      <c r="B4" s="1746" t="s">
        <v>557</v>
      </c>
      <c r="C4" s="615" t="s">
        <v>353</v>
      </c>
      <c r="D4" s="1448" t="str">
        <f>Data!$I$30</f>
        <v/>
      </c>
      <c r="E4" s="359"/>
    </row>
    <row r="5" spans="1:18" ht="19.899999999999999" customHeight="1">
      <c r="B5" s="1746"/>
      <c r="C5" s="615" t="s">
        <v>560</v>
      </c>
      <c r="D5" s="1448" t="str">
        <f>Data!$I$26</f>
        <v/>
      </c>
      <c r="E5" s="359"/>
    </row>
    <row r="6" spans="1:18" ht="19.899999999999999" customHeight="1">
      <c r="B6" s="1746"/>
      <c r="C6" s="615" t="s">
        <v>558</v>
      </c>
      <c r="D6" s="1211" t="str">
        <f>CONCATENATE(Data!$I$27,"　",Data!$I$28)</f>
        <v>　</v>
      </c>
      <c r="E6" s="359"/>
    </row>
    <row r="7" spans="1:18" ht="19.899999999999999" customHeight="1">
      <c r="B7" s="1506" t="s">
        <v>428</v>
      </c>
      <c r="C7" s="1516"/>
      <c r="D7" s="1448" t="str">
        <f>Data!$I$35</f>
        <v/>
      </c>
      <c r="E7" s="359"/>
    </row>
    <row r="8" spans="1:18" ht="19.899999999999999" customHeight="1">
      <c r="B8" s="1746" t="s">
        <v>559</v>
      </c>
      <c r="C8" s="615" t="s">
        <v>353</v>
      </c>
      <c r="D8" s="1448" t="str">
        <f>Data!$I$40</f>
        <v/>
      </c>
      <c r="E8" s="359"/>
    </row>
    <row r="9" spans="1:18" ht="19.899999999999999" customHeight="1">
      <c r="B9" s="1746"/>
      <c r="C9" s="615" t="s">
        <v>560</v>
      </c>
      <c r="D9" s="1448" t="str">
        <f>Data!$I$36</f>
        <v/>
      </c>
      <c r="E9" s="359"/>
    </row>
    <row r="10" spans="1:18" ht="19.899999999999999" customHeight="1">
      <c r="B10" s="1746"/>
      <c r="C10" s="615" t="s">
        <v>558</v>
      </c>
      <c r="D10" s="1448" t="str">
        <f>CONCATENATE(Data!$I$37,"　",Data!$I$38)</f>
        <v>　</v>
      </c>
      <c r="E10" s="359"/>
    </row>
    <row r="11" spans="1:18" ht="19.899999999999999" customHeight="1">
      <c r="B11" s="1506" t="s">
        <v>16</v>
      </c>
      <c r="C11" s="1516"/>
      <c r="D11" s="1448" t="str">
        <f>Data!$A$9</f>
        <v/>
      </c>
      <c r="E11" s="614"/>
    </row>
    <row r="12" spans="1:18" s="3" customFormat="1" ht="19.899999999999999" customHeight="1" thickBot="1">
      <c r="B12" s="1509" t="s">
        <v>79</v>
      </c>
      <c r="C12" s="1733"/>
      <c r="D12" s="1204" t="str">
        <f>Data!$I$136</f>
        <v/>
      </c>
      <c r="E12" s="594" t="s">
        <v>18</v>
      </c>
      <c r="F12" s="591"/>
      <c r="H12" s="4"/>
      <c r="I12" s="4"/>
      <c r="J12" s="4"/>
      <c r="K12" s="4"/>
      <c r="L12" s="4"/>
      <c r="M12" s="4"/>
      <c r="N12" s="4"/>
      <c r="O12" s="4"/>
      <c r="P12" s="4"/>
      <c r="R12"/>
    </row>
    <row r="13" spans="1:18" s="3" customFormat="1" ht="20.45" customHeight="1" thickBot="1">
      <c r="B13" s="1737" t="s">
        <v>567</v>
      </c>
      <c r="C13" s="1737"/>
      <c r="D13" s="619"/>
      <c r="E13" s="620"/>
      <c r="H13" s="1742" t="s">
        <v>419</v>
      </c>
      <c r="I13" s="1743"/>
      <c r="J13" s="1743"/>
      <c r="K13" s="1743"/>
      <c r="L13" s="1743"/>
      <c r="M13" s="1743"/>
      <c r="N13" s="1743"/>
      <c r="O13" s="1743"/>
      <c r="P13" s="1744"/>
    </row>
    <row r="14" spans="1:18" s="3" customFormat="1" ht="50.45" customHeight="1" thickBot="1">
      <c r="B14" s="1718" t="s">
        <v>562</v>
      </c>
      <c r="C14" s="1738"/>
      <c r="D14" s="1221">
        <f>D15+D16+D17</f>
        <v>0</v>
      </c>
      <c r="E14" s="613" t="s">
        <v>563</v>
      </c>
      <c r="H14" s="1739"/>
      <c r="I14" s="1740"/>
      <c r="J14" s="1740"/>
      <c r="K14" s="1740"/>
      <c r="L14" s="1740"/>
      <c r="M14" s="1740"/>
      <c r="N14" s="1740"/>
      <c r="O14" s="1740"/>
      <c r="P14" s="1741"/>
    </row>
    <row r="15" spans="1:18" s="3" customFormat="1" ht="50.45" customHeight="1" thickTop="1" thickBot="1">
      <c r="B15" s="1506" t="s">
        <v>568</v>
      </c>
      <c r="C15" s="1507"/>
      <c r="D15" s="1487"/>
      <c r="E15" s="618" t="s">
        <v>563</v>
      </c>
      <c r="H15" s="417" t="s">
        <v>566</v>
      </c>
      <c r="I15" s="418"/>
      <c r="J15" s="418"/>
      <c r="K15" s="418"/>
      <c r="L15" s="418"/>
      <c r="M15" s="418"/>
      <c r="N15" s="418"/>
      <c r="O15" s="418"/>
      <c r="P15" s="419"/>
    </row>
    <row r="16" spans="1:18" s="3" customFormat="1" ht="50.45" customHeight="1" thickTop="1" thickBot="1">
      <c r="B16" s="1506" t="s">
        <v>569</v>
      </c>
      <c r="C16" s="1507"/>
      <c r="D16" s="1487"/>
      <c r="E16" s="672" t="s">
        <v>564</v>
      </c>
      <c r="H16" s="417" t="s">
        <v>565</v>
      </c>
      <c r="I16" s="418"/>
      <c r="J16" s="418"/>
      <c r="K16" s="418"/>
      <c r="L16" s="418"/>
      <c r="M16" s="418"/>
      <c r="N16" s="418"/>
      <c r="O16" s="418"/>
      <c r="P16" s="419"/>
    </row>
    <row r="17" spans="2:16" s="3" customFormat="1" ht="50.45" customHeight="1" thickTop="1" thickBot="1">
      <c r="B17" s="1541" t="s">
        <v>818</v>
      </c>
      <c r="C17" s="1745"/>
      <c r="D17" s="1487"/>
      <c r="E17" s="616" t="s">
        <v>564</v>
      </c>
      <c r="H17" s="1129" t="s">
        <v>819</v>
      </c>
      <c r="I17" s="1130"/>
      <c r="J17" s="1130"/>
      <c r="K17" s="1130"/>
      <c r="L17" s="1130"/>
      <c r="M17" s="1130"/>
      <c r="N17" s="1130"/>
      <c r="O17" s="1130"/>
      <c r="P17" s="1131"/>
    </row>
    <row r="18" spans="2:16" ht="20.45" customHeight="1" thickBot="1">
      <c r="B18" s="1534" t="s">
        <v>570</v>
      </c>
      <c r="C18" s="1534"/>
      <c r="D18" s="617"/>
      <c r="E18" s="617"/>
    </row>
    <row r="19" spans="2:16" ht="20.45" customHeight="1" thickBot="1">
      <c r="B19" s="1511" t="s">
        <v>335</v>
      </c>
      <c r="C19" s="1512"/>
      <c r="D19" s="1222">
        <f>'４訓練の概要'!D13</f>
        <v>0</v>
      </c>
      <c r="E19" s="434"/>
    </row>
    <row r="20" spans="2:16" ht="34.15" customHeight="1" thickTop="1">
      <c r="B20" s="1506" t="s">
        <v>571</v>
      </c>
      <c r="C20" s="1732"/>
      <c r="D20" s="1488"/>
      <c r="E20" s="593" t="s">
        <v>572</v>
      </c>
      <c r="H20" s="1518" t="s">
        <v>750</v>
      </c>
      <c r="I20" s="1705"/>
      <c r="J20" s="1705"/>
      <c r="K20" s="1705"/>
      <c r="L20" s="1705"/>
      <c r="M20" s="1705"/>
      <c r="N20" s="1705"/>
      <c r="O20" s="1705"/>
      <c r="P20" s="1706"/>
    </row>
    <row r="21" spans="2:16" ht="38.450000000000003" customHeight="1" thickBot="1">
      <c r="B21" s="1509" t="s">
        <v>749</v>
      </c>
      <c r="C21" s="1733"/>
      <c r="D21" s="1489"/>
      <c r="E21" s="621" t="s">
        <v>573</v>
      </c>
      <c r="H21" s="1527"/>
      <c r="I21" s="1528"/>
      <c r="J21" s="1528"/>
      <c r="K21" s="1528"/>
      <c r="L21" s="1528"/>
      <c r="M21" s="1528"/>
      <c r="N21" s="1528"/>
      <c r="O21" s="1528"/>
      <c r="P21" s="1529"/>
    </row>
  </sheetData>
  <sheetProtection sheet="1" formatCells="0" formatColumns="0" formatRows="0"/>
  <mergeCells count="18">
    <mergeCell ref="B12:C12"/>
    <mergeCell ref="B3:C3"/>
    <mergeCell ref="B4:B6"/>
    <mergeCell ref="B7:C7"/>
    <mergeCell ref="B8:B10"/>
    <mergeCell ref="B11:C11"/>
    <mergeCell ref="B19:C19"/>
    <mergeCell ref="B20:C20"/>
    <mergeCell ref="H20:P21"/>
    <mergeCell ref="B21:C21"/>
    <mergeCell ref="B13:C13"/>
    <mergeCell ref="B14:C14"/>
    <mergeCell ref="H14:P14"/>
    <mergeCell ref="B15:C15"/>
    <mergeCell ref="B16:C16"/>
    <mergeCell ref="B18:C18"/>
    <mergeCell ref="H13:P13"/>
    <mergeCell ref="B17:C1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G8" sqref="G8:H8"/>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11" t="s">
        <v>443</v>
      </c>
      <c r="C3" s="1512"/>
      <c r="D3" s="628" t="str">
        <f>Data!$A$11</f>
        <v>離職者等再就職訓練（６箇月）</v>
      </c>
      <c r="E3" s="358"/>
    </row>
    <row r="4" spans="1:16" ht="30" customHeight="1" thickBot="1">
      <c r="B4" s="1506" t="s">
        <v>580</v>
      </c>
      <c r="C4" s="1732"/>
      <c r="D4" s="629" t="str">
        <f>Data!$I$69</f>
        <v/>
      </c>
      <c r="E4" s="614"/>
    </row>
    <row r="5" spans="1:16" ht="30" customHeight="1" thickBot="1">
      <c r="B5" s="1509" t="s">
        <v>16</v>
      </c>
      <c r="C5" s="1733"/>
      <c r="D5" s="630" t="str">
        <f>Data!$A$9</f>
        <v/>
      </c>
      <c r="E5" s="626"/>
      <c r="H5" s="1530" t="s">
        <v>419</v>
      </c>
      <c r="I5" s="1531"/>
      <c r="J5" s="1531"/>
      <c r="K5" s="1531"/>
      <c r="L5" s="1531"/>
      <c r="M5" s="1531"/>
      <c r="N5" s="1531"/>
      <c r="O5" s="1531"/>
      <c r="P5" s="1532"/>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3" t="s">
        <v>578</v>
      </c>
      <c r="C7" s="1754"/>
      <c r="D7" s="581"/>
      <c r="E7" s="1166"/>
      <c r="H7" s="1747" t="s">
        <v>1074</v>
      </c>
      <c r="I7" s="1752"/>
      <c r="J7" s="1752"/>
      <c r="K7" s="1752"/>
      <c r="L7" s="1752"/>
      <c r="M7" s="1752"/>
      <c r="N7" s="431" t="s">
        <v>421</v>
      </c>
      <c r="O7" s="424">
        <f>LEN($D7)</f>
        <v>0</v>
      </c>
      <c r="P7" s="430" t="s">
        <v>407</v>
      </c>
    </row>
    <row r="8" spans="1:16" s="39" customFormat="1" ht="30" customHeight="1" thickTop="1" thickBot="1">
      <c r="B8" s="1749" t="s">
        <v>592</v>
      </c>
      <c r="C8" s="631" t="s">
        <v>593</v>
      </c>
      <c r="D8" s="1490">
        <f>'4-3実習生受入企業一覧(デュアル)'!$D$10</f>
        <v>0</v>
      </c>
      <c r="E8" s="363" t="s">
        <v>595</v>
      </c>
      <c r="H8" s="1747" t="s">
        <v>781</v>
      </c>
      <c r="I8" s="1748"/>
      <c r="J8" s="1748"/>
      <c r="K8" s="1748"/>
      <c r="L8" s="1748"/>
      <c r="M8" s="1748"/>
      <c r="N8" s="431"/>
      <c r="O8" s="424"/>
      <c r="P8" s="430"/>
    </row>
    <row r="9" spans="1:16" s="39" customFormat="1" ht="30" customHeight="1" thickBot="1">
      <c r="B9" s="1749"/>
      <c r="C9" s="631" t="s">
        <v>594</v>
      </c>
      <c r="D9" s="1491">
        <f>'4-3実習生受入企業一覧(デュアル)'!$I$10</f>
        <v>0</v>
      </c>
      <c r="E9" s="363" t="s">
        <v>596</v>
      </c>
      <c r="H9" s="1747" t="s">
        <v>780</v>
      </c>
      <c r="I9" s="1748"/>
      <c r="J9" s="1748"/>
      <c r="K9" s="1748"/>
      <c r="L9" s="1748"/>
      <c r="M9" s="1748"/>
      <c r="N9" s="431"/>
      <c r="O9" s="424"/>
      <c r="P9" s="430"/>
    </row>
    <row r="10" spans="1:16" s="39" customFormat="1" ht="181.9" customHeight="1" thickTop="1" thickBot="1">
      <c r="B10" s="1750" t="s">
        <v>579</v>
      </c>
      <c r="C10" s="1751"/>
      <c r="D10" s="357"/>
      <c r="E10" s="627"/>
      <c r="H10" s="1747" t="s">
        <v>1026</v>
      </c>
      <c r="I10" s="1752"/>
      <c r="J10" s="1752"/>
      <c r="K10" s="1752"/>
      <c r="L10" s="1752"/>
      <c r="M10" s="1752"/>
      <c r="N10" s="431" t="s">
        <v>421</v>
      </c>
      <c r="O10" s="424">
        <f>LEN($D10)</f>
        <v>0</v>
      </c>
      <c r="P10" s="430" t="s">
        <v>407</v>
      </c>
    </row>
    <row r="11" spans="1:16">
      <c r="B11" s="23"/>
    </row>
  </sheetData>
  <sheetProtection sheet="1" formatCells="0" formatColumns="0" formatRows="0"/>
  <mergeCells count="11">
    <mergeCell ref="B10:C10"/>
    <mergeCell ref="H5:P5"/>
    <mergeCell ref="H10:M10"/>
    <mergeCell ref="B7:C7"/>
    <mergeCell ref="H7:M7"/>
    <mergeCell ref="B5:C5"/>
    <mergeCell ref="B3:C3"/>
    <mergeCell ref="B4:C4"/>
    <mergeCell ref="H8:M8"/>
    <mergeCell ref="H9:M9"/>
    <mergeCell ref="B8:B9"/>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G8" sqref="G8:H8"/>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57" t="s">
        <v>779</v>
      </c>
      <c r="C2" s="1757"/>
      <c r="D2" s="1757"/>
      <c r="E2" s="1757"/>
      <c r="F2" s="1757"/>
      <c r="G2" s="1757"/>
      <c r="H2" s="1757"/>
      <c r="I2" s="1757"/>
      <c r="J2" s="1757"/>
      <c r="K2" s="1757"/>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58" t="str">
        <f>Data!$A$9</f>
        <v/>
      </c>
      <c r="J4" s="1758" t="str">
        <f>Data!$A$9</f>
        <v/>
      </c>
      <c r="K4" s="1758" t="str">
        <f>Data!$A$9</f>
        <v/>
      </c>
      <c r="L4" s="1048"/>
    </row>
    <row r="5" spans="1:13" ht="18.75" customHeight="1">
      <c r="B5" s="1043"/>
      <c r="C5" s="1044"/>
      <c r="D5" s="1043"/>
      <c r="E5" s="1043"/>
      <c r="F5" s="1044"/>
      <c r="G5" s="1044"/>
      <c r="H5" s="1047" t="s">
        <v>26</v>
      </c>
      <c r="I5" s="1758" t="str">
        <f>Data!$I$69</f>
        <v/>
      </c>
      <c r="J5" s="1758" t="str">
        <f>Data!$I$69</f>
        <v/>
      </c>
      <c r="K5" s="1758" t="str">
        <f>Data!$I$69</f>
        <v/>
      </c>
    </row>
    <row r="6" spans="1:13" ht="18.75" customHeight="1">
      <c r="B6" s="1043"/>
      <c r="C6" s="1044"/>
      <c r="D6" s="1043"/>
      <c r="E6" s="1043"/>
      <c r="F6" s="1044"/>
      <c r="G6" s="1044"/>
      <c r="H6" s="1049"/>
      <c r="I6" s="1050"/>
      <c r="J6" s="1050"/>
      <c r="K6" s="1050"/>
    </row>
    <row r="7" spans="1:13" ht="18.75" customHeight="1" thickBot="1">
      <c r="B7" s="1759" t="s">
        <v>533</v>
      </c>
      <c r="C7" s="1759"/>
      <c r="D7" s="1759"/>
      <c r="E7" s="1759"/>
      <c r="F7" s="1759"/>
      <c r="G7" s="1759"/>
      <c r="H7" s="1759"/>
      <c r="I7" s="1759"/>
      <c r="J7" s="1759"/>
      <c r="K7" s="1759"/>
    </row>
    <row r="8" spans="1:13" ht="27" customHeight="1">
      <c r="B8" s="1051" t="s">
        <v>534</v>
      </c>
      <c r="C8" s="1052" t="s">
        <v>535</v>
      </c>
      <c r="D8" s="1052" t="s">
        <v>79</v>
      </c>
      <c r="E8" s="1052" t="s">
        <v>536</v>
      </c>
      <c r="F8" s="1052" t="s">
        <v>537</v>
      </c>
      <c r="G8" s="1760" t="s">
        <v>353</v>
      </c>
      <c r="H8" s="1761"/>
      <c r="I8" s="1052" t="s">
        <v>23</v>
      </c>
      <c r="J8" s="1053" t="s">
        <v>538</v>
      </c>
      <c r="K8" s="1054" t="s">
        <v>539</v>
      </c>
    </row>
    <row r="9" spans="1:13" ht="27" customHeight="1" thickBot="1">
      <c r="B9" s="1055" t="s">
        <v>85</v>
      </c>
      <c r="C9" s="1056" t="s">
        <v>540</v>
      </c>
      <c r="D9" s="1056" t="s">
        <v>541</v>
      </c>
      <c r="E9" s="1057" t="s">
        <v>542</v>
      </c>
      <c r="F9" s="1056" t="s">
        <v>543</v>
      </c>
      <c r="G9" s="1755" t="s">
        <v>544</v>
      </c>
      <c r="H9" s="1756"/>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66"/>
      <c r="H12" s="1767"/>
      <c r="I12" s="598"/>
      <c r="J12" s="598"/>
      <c r="K12" s="1176"/>
      <c r="M12" s="1071" t="s">
        <v>753</v>
      </c>
    </row>
    <row r="13" spans="1:13" s="1070" customFormat="1" ht="22.5" customHeight="1">
      <c r="A13" s="1068"/>
      <c r="B13" s="1069" t="str">
        <f>IF(C13&lt;&gt;"",COUNTA($C$12:C13),"")</f>
        <v/>
      </c>
      <c r="C13" s="1373"/>
      <c r="D13" s="1374"/>
      <c r="E13" s="1375"/>
      <c r="F13" s="1376"/>
      <c r="G13" s="1768"/>
      <c r="H13" s="1769"/>
      <c r="I13" s="1377"/>
      <c r="J13" s="1377"/>
      <c r="K13" s="1378"/>
    </row>
    <row r="14" spans="1:13" s="1070" customFormat="1" ht="22.5" customHeight="1">
      <c r="A14" s="1068"/>
      <c r="B14" s="1069" t="str">
        <f>IF(C14&lt;&gt;"",COUNTA($C$12:C14),"")</f>
        <v/>
      </c>
      <c r="C14" s="1041"/>
      <c r="D14" s="588"/>
      <c r="E14" s="1172"/>
      <c r="F14" s="589"/>
      <c r="G14" s="1762"/>
      <c r="H14" s="1763"/>
      <c r="I14" s="590"/>
      <c r="J14" s="590"/>
      <c r="K14" s="599"/>
    </row>
    <row r="15" spans="1:13" s="1070" customFormat="1" ht="22.5" customHeight="1">
      <c r="A15" s="1068"/>
      <c r="B15" s="1069" t="str">
        <f>IF(C15&lt;&gt;"",COUNTA($C$12:C15),"")</f>
        <v/>
      </c>
      <c r="C15" s="1041"/>
      <c r="D15" s="588"/>
      <c r="E15" s="1172"/>
      <c r="F15" s="589"/>
      <c r="G15" s="1762"/>
      <c r="H15" s="1763"/>
      <c r="I15" s="590"/>
      <c r="J15" s="590"/>
      <c r="K15" s="599"/>
    </row>
    <row r="16" spans="1:13" s="1070" customFormat="1" ht="22.5" customHeight="1">
      <c r="A16" s="1068"/>
      <c r="B16" s="1069" t="str">
        <f>IF(C16&lt;&gt;"",COUNTA($C$12:C16),"")</f>
        <v/>
      </c>
      <c r="C16" s="1041"/>
      <c r="D16" s="588"/>
      <c r="E16" s="1172"/>
      <c r="F16" s="589"/>
      <c r="G16" s="1762"/>
      <c r="H16" s="1763"/>
      <c r="I16" s="590"/>
      <c r="J16" s="590"/>
      <c r="K16" s="599"/>
    </row>
    <row r="17" spans="1:13" s="1070" customFormat="1" ht="22.5" customHeight="1">
      <c r="A17" s="1068"/>
      <c r="B17" s="1069" t="str">
        <f>IF(C17&lt;&gt;"",COUNTA($C$12:C17),"")</f>
        <v/>
      </c>
      <c r="C17" s="1041"/>
      <c r="D17" s="588">
        <v>0</v>
      </c>
      <c r="E17" s="1172"/>
      <c r="F17" s="589"/>
      <c r="G17" s="1762"/>
      <c r="H17" s="1763"/>
      <c r="I17" s="590"/>
      <c r="J17" s="590"/>
      <c r="K17" s="599"/>
    </row>
    <row r="18" spans="1:13" s="1070" customFormat="1" ht="22.5" customHeight="1">
      <c r="A18" s="1068"/>
      <c r="B18" s="1069" t="str">
        <f>IF(C18&lt;&gt;"",COUNTA($C$12:C18),"")</f>
        <v/>
      </c>
      <c r="C18" s="1041"/>
      <c r="D18" s="588">
        <v>0</v>
      </c>
      <c r="E18" s="1172"/>
      <c r="F18" s="589"/>
      <c r="G18" s="1762"/>
      <c r="H18" s="1763"/>
      <c r="I18" s="590"/>
      <c r="J18" s="590"/>
      <c r="K18" s="599"/>
    </row>
    <row r="19" spans="1:13" s="1070" customFormat="1" ht="22.5" customHeight="1">
      <c r="A19" s="1068"/>
      <c r="B19" s="1069" t="str">
        <f>IF(C19&lt;&gt;"",COUNTA($C$12:C19),"")</f>
        <v/>
      </c>
      <c r="C19" s="1041"/>
      <c r="D19" s="588"/>
      <c r="E19" s="1172"/>
      <c r="F19" s="589"/>
      <c r="G19" s="1762"/>
      <c r="H19" s="1763"/>
      <c r="I19" s="590"/>
      <c r="J19" s="590"/>
      <c r="K19" s="599"/>
    </row>
    <row r="20" spans="1:13" s="1070" customFormat="1" ht="22.5" customHeight="1">
      <c r="A20" s="1068"/>
      <c r="B20" s="1069" t="str">
        <f>IF(C20&lt;&gt;"",COUNTA($C$12:C20),"")</f>
        <v/>
      </c>
      <c r="C20" s="1041"/>
      <c r="D20" s="588">
        <v>0</v>
      </c>
      <c r="E20" s="1172"/>
      <c r="F20" s="589"/>
      <c r="G20" s="1762"/>
      <c r="H20" s="1763"/>
      <c r="I20" s="590"/>
      <c r="J20" s="590"/>
      <c r="K20" s="599"/>
      <c r="M20" s="967" t="s">
        <v>751</v>
      </c>
    </row>
    <row r="21" spans="1:13" s="1070" customFormat="1" ht="22.5" customHeight="1" thickBot="1">
      <c r="A21" s="1068"/>
      <c r="B21" s="1072" t="str">
        <f>IF(C21&lt;&gt;"",COUNTA($C$12:C21),"")</f>
        <v/>
      </c>
      <c r="C21" s="1042"/>
      <c r="D21" s="601"/>
      <c r="E21" s="1173"/>
      <c r="F21" s="600"/>
      <c r="G21" s="1764"/>
      <c r="H21" s="1765"/>
      <c r="I21" s="602"/>
      <c r="J21" s="602"/>
      <c r="K21" s="603"/>
    </row>
    <row r="22" spans="1:13">
      <c r="B22" s="1059"/>
    </row>
  </sheetData>
  <mergeCells count="16">
    <mergeCell ref="G18:H18"/>
    <mergeCell ref="G19:H19"/>
    <mergeCell ref="G20:H20"/>
    <mergeCell ref="G21:H21"/>
    <mergeCell ref="G12:H12"/>
    <mergeCell ref="G13:H13"/>
    <mergeCell ref="G14:H14"/>
    <mergeCell ref="G15:H15"/>
    <mergeCell ref="G16:H16"/>
    <mergeCell ref="G17:H17"/>
    <mergeCell ref="G9:H9"/>
    <mergeCell ref="B2:K2"/>
    <mergeCell ref="I4:K4"/>
    <mergeCell ref="I5:K5"/>
    <mergeCell ref="B7:K7"/>
    <mergeCell ref="G8:H8"/>
  </mergeCells>
  <phoneticPr fontId="2"/>
  <conditionalFormatting sqref="E10:E11">
    <cfRule type="cellIs" dxfId="203" priority="1" stopIfTrue="1" operator="equal">
      <formula>0</formula>
    </cfRule>
  </conditionalFormatting>
  <conditionalFormatting sqref="D10:D11">
    <cfRule type="cellIs" dxfId="202"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G8" sqref="G8:H8"/>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11" t="s">
        <v>443</v>
      </c>
      <c r="C3" s="1512"/>
      <c r="D3" s="1231" t="str">
        <f>Data!$A$11</f>
        <v>離職者等再就職訓練（６箇月）</v>
      </c>
      <c r="E3" s="358"/>
    </row>
    <row r="4" spans="1:8" ht="30" customHeight="1" thickBot="1">
      <c r="B4" s="1506" t="s">
        <v>580</v>
      </c>
      <c r="C4" s="1732"/>
      <c r="D4" s="1203" t="str">
        <f>Data!$I$69</f>
        <v/>
      </c>
      <c r="E4" s="614"/>
    </row>
    <row r="5" spans="1:8" ht="30" customHeight="1" thickBot="1">
      <c r="B5" s="1509" t="s">
        <v>16</v>
      </c>
      <c r="C5" s="1733"/>
      <c r="D5" s="1232" t="str">
        <f>Data!$A$9</f>
        <v/>
      </c>
      <c r="E5" s="626"/>
      <c r="H5" s="677" t="s">
        <v>419</v>
      </c>
    </row>
    <row r="6" spans="1:8" ht="10.15" customHeight="1" thickBot="1">
      <c r="B6" s="1165"/>
      <c r="C6" s="1165"/>
      <c r="D6" s="625"/>
      <c r="E6" s="1167"/>
      <c r="H6" s="430"/>
    </row>
    <row r="7" spans="1:8" s="39" customFormat="1" ht="35.450000000000003" customHeight="1" thickTop="1" thickBot="1">
      <c r="B7" s="1753" t="s">
        <v>672</v>
      </c>
      <c r="C7" s="1754"/>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S42" sqref="S4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58" t="str">
        <f>Data!$A$9</f>
        <v/>
      </c>
      <c r="Q22" s="1758" t="str">
        <f>Data!$A$9</f>
        <v/>
      </c>
      <c r="R22" s="1758" t="str">
        <f>Data!$A$9</f>
        <v/>
      </c>
    </row>
    <row r="23" spans="1:21" ht="18" customHeight="1">
      <c r="H23" s="980"/>
      <c r="I23" s="980"/>
      <c r="J23" s="980"/>
      <c r="N23" s="1779" t="s">
        <v>26</v>
      </c>
      <c r="O23" s="1779"/>
      <c r="P23" s="1758" t="str">
        <f>Data!$I$69</f>
        <v/>
      </c>
      <c r="Q23" s="1758" t="str">
        <f>Data!$I$69</f>
        <v/>
      </c>
      <c r="R23" s="1758"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F44" sqref="F44"/>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04" t="s">
        <v>443</v>
      </c>
      <c r="C3" s="1805"/>
      <c r="D3" s="1799" t="str">
        <f>Data!$A$11</f>
        <v>離職者等再就職訓練（６箇月）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554</v>
      </c>
      <c r="C7" s="610"/>
      <c r="D7" s="257"/>
      <c r="E7" s="612"/>
    </row>
    <row r="8" spans="1:16" s="3" customFormat="1" ht="38.450000000000003" customHeight="1" thickTop="1">
      <c r="B8" s="1806" t="s">
        <v>111</v>
      </c>
      <c r="C8" s="1807"/>
      <c r="D8" s="1492"/>
      <c r="E8" s="613" t="s">
        <v>555</v>
      </c>
      <c r="H8" s="10"/>
      <c r="I8" s="10"/>
      <c r="J8" s="10"/>
      <c r="K8" s="10"/>
      <c r="L8" s="10"/>
      <c r="M8" s="10"/>
      <c r="N8" s="10"/>
      <c r="O8" s="10"/>
      <c r="P8" s="10"/>
    </row>
    <row r="9" spans="1:16" s="3" customFormat="1" ht="40.15" customHeight="1">
      <c r="B9" s="1539" t="s">
        <v>553</v>
      </c>
      <c r="C9" s="1540"/>
      <c r="D9" s="1493"/>
      <c r="E9" s="403" t="s">
        <v>556</v>
      </c>
      <c r="H9" s="10"/>
      <c r="I9" s="4"/>
      <c r="J9" s="4"/>
      <c r="K9" s="4"/>
      <c r="L9" s="4"/>
      <c r="M9" s="4"/>
      <c r="N9" s="4"/>
      <c r="O9" s="4"/>
      <c r="P9" s="4"/>
    </row>
    <row r="10" spans="1:16" s="3" customFormat="1" ht="37.9" customHeight="1" thickBot="1">
      <c r="B10" s="1541" t="s">
        <v>351</v>
      </c>
      <c r="C10" s="1542"/>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09" t="s">
        <v>742</v>
      </c>
      <c r="C12" s="1810"/>
      <c r="D12" s="1323">
        <f>F45+F56</f>
        <v>0</v>
      </c>
      <c r="E12" s="272" t="s">
        <v>52</v>
      </c>
    </row>
    <row r="13" spans="1:16" ht="30" customHeight="1">
      <c r="B13" s="1811" t="s">
        <v>1075</v>
      </c>
      <c r="C13" s="1812"/>
      <c r="D13" s="1324">
        <f>G32+G44+G56</f>
        <v>0</v>
      </c>
      <c r="E13" s="609" t="s">
        <v>52</v>
      </c>
      <c r="F13" s="607"/>
      <c r="G13" s="585"/>
      <c r="I13" s="401"/>
    </row>
    <row r="14" spans="1:16" ht="35.450000000000003" customHeight="1" thickBot="1">
      <c r="B14" s="1801" t="s">
        <v>551</v>
      </c>
      <c r="C14" s="1802"/>
      <c r="D14" s="1325" t="str">
        <f>IF(D13=0,"オンライン設定無し",ROUNDUP(D13/D12,3)*100&amp;"%")</f>
        <v>オンライン設定無し</v>
      </c>
      <c r="E14" s="608" t="s">
        <v>552</v>
      </c>
      <c r="F14" s="607"/>
      <c r="G14" s="585"/>
      <c r="I14" s="401"/>
    </row>
    <row r="15" spans="1:16" ht="30" customHeight="1" thickBot="1">
      <c r="B15" s="1624" t="s">
        <v>393</v>
      </c>
      <c r="C15" s="1803"/>
      <c r="D15" s="1326">
        <f>F45</f>
        <v>0</v>
      </c>
      <c r="E15" s="396" t="str">
        <f>CONCATENATE("時間(",K15,L15,M15,N15,")")</f>
        <v>時間(600時間以上)</v>
      </c>
      <c r="F15" s="1815"/>
      <c r="G15" s="1816"/>
      <c r="J15" s="249"/>
      <c r="K15" s="402">
        <f>VLOOKUP($D$3,祝日!$K$3:$S$25,3,FALSE)</f>
        <v>600</v>
      </c>
      <c r="L15" s="221" t="s">
        <v>404</v>
      </c>
      <c r="M15" s="402" t="str">
        <f>IF(VLOOKUP($D$3,祝日!$K$3:$S$25,4,FALSE)=999,"",VLOOKUP($D$3,祝日!$K$3:$S$25,4,FALSE))</f>
        <v/>
      </c>
      <c r="N15" s="95" t="str">
        <f>IF(M15="","","時間以下")</f>
        <v/>
      </c>
      <c r="O15" s="95"/>
    </row>
    <row r="16" spans="1:16" ht="30" customHeight="1">
      <c r="B16" s="1633" t="s">
        <v>391</v>
      </c>
      <c r="C16" s="1824"/>
      <c r="D16" s="1327">
        <f>F32</f>
        <v>0</v>
      </c>
      <c r="E16" s="273" t="s">
        <v>361</v>
      </c>
      <c r="F16" s="1817"/>
      <c r="G16" s="1818"/>
    </row>
    <row r="17" spans="2:22" ht="30" customHeight="1" thickBot="1">
      <c r="B17" s="1633" t="s">
        <v>392</v>
      </c>
      <c r="C17" s="1824"/>
      <c r="D17" s="1327">
        <f>F44</f>
        <v>0</v>
      </c>
      <c r="E17" s="273" t="s">
        <v>361</v>
      </c>
      <c r="F17" s="1817"/>
      <c r="G17" s="1818"/>
    </row>
    <row r="18" spans="2:22" customFormat="1" ht="30" customHeight="1" thickBot="1">
      <c r="B18" s="1642" t="s">
        <v>395</v>
      </c>
      <c r="C18" s="1829"/>
      <c r="D18" s="1328">
        <f>F56</f>
        <v>0</v>
      </c>
      <c r="E18" s="277" t="str">
        <f>CONCATENATE("時間(",K18,L18,M18,N18,")")</f>
        <v>時間(24時間以上)</v>
      </c>
      <c r="F18" s="1815"/>
      <c r="G18" s="1816"/>
      <c r="J18" s="249"/>
      <c r="K18" s="402">
        <f>VLOOKUP($D$3,祝日!$K$3:$S$25,5,FALSE)</f>
        <v>24</v>
      </c>
      <c r="L18" s="221" t="s">
        <v>404</v>
      </c>
      <c r="M18" s="402" t="str">
        <f>IF(VLOOKUP($D$3,祝日!$K$3:$S$25,6,FALSE)=999,"",VLOOKUP($D$3,祝日!$K$3:$S$25,6,FALSE))</f>
        <v/>
      </c>
      <c r="N18" s="95" t="str">
        <f>IF(M18="","","時間以下")</f>
        <v/>
      </c>
      <c r="O18" s="95"/>
      <c r="T18" s="221"/>
      <c r="U18" s="221"/>
      <c r="V18" s="221"/>
    </row>
    <row r="19" spans="2:22" ht="30" customHeight="1" thickBot="1">
      <c r="B19" s="1644" t="s">
        <v>743</v>
      </c>
      <c r="C19" s="1808"/>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30" t="s">
        <v>366</v>
      </c>
      <c r="C22" s="1822" t="s">
        <v>367</v>
      </c>
      <c r="D22" s="1144"/>
      <c r="E22" s="1141"/>
      <c r="F22" s="1302"/>
      <c r="G22" s="1305"/>
      <c r="I22" s="476"/>
    </row>
    <row r="23" spans="2:22" s="270" customFormat="1" ht="17.25">
      <c r="B23" s="1830"/>
      <c r="C23" s="1822"/>
      <c r="D23" s="1146"/>
      <c r="E23" s="1142"/>
      <c r="F23" s="1303"/>
      <c r="G23" s="1306"/>
      <c r="I23" s="476"/>
    </row>
    <row r="24" spans="2:22" s="270" customFormat="1" ht="17.25">
      <c r="B24" s="1830"/>
      <c r="C24" s="1822"/>
      <c r="D24" s="1146"/>
      <c r="E24" s="1142"/>
      <c r="F24" s="1303"/>
      <c r="G24" s="1306"/>
      <c r="I24" s="476"/>
    </row>
    <row r="25" spans="2:22" s="270" customFormat="1" ht="17.25">
      <c r="B25" s="1830"/>
      <c r="C25" s="1822"/>
      <c r="D25" s="1146"/>
      <c r="E25" s="1142"/>
      <c r="F25" s="1303"/>
      <c r="G25" s="1306"/>
      <c r="I25" s="476"/>
    </row>
    <row r="26" spans="2:22" s="270" customFormat="1" ht="17.25">
      <c r="B26" s="1830"/>
      <c r="C26" s="1822"/>
      <c r="D26" s="1146"/>
      <c r="E26" s="1142"/>
      <c r="F26" s="1303"/>
      <c r="G26" s="1306"/>
      <c r="I26" s="476"/>
    </row>
    <row r="27" spans="2:22" s="270" customFormat="1" ht="17.25">
      <c r="B27" s="1830"/>
      <c r="C27" s="1822"/>
      <c r="D27" s="1146"/>
      <c r="E27" s="1142"/>
      <c r="F27" s="1303"/>
      <c r="G27" s="1306"/>
      <c r="I27" s="476"/>
    </row>
    <row r="28" spans="2:22" s="270" customFormat="1" ht="17.25">
      <c r="B28" s="1830"/>
      <c r="C28" s="1822"/>
      <c r="D28" s="1146"/>
      <c r="E28" s="1142"/>
      <c r="F28" s="1303"/>
      <c r="G28" s="1306"/>
      <c r="I28" s="476"/>
    </row>
    <row r="29" spans="2:22" s="270" customFormat="1" ht="17.25">
      <c r="B29" s="1830"/>
      <c r="C29" s="1822"/>
      <c r="D29" s="1146"/>
      <c r="E29" s="1142"/>
      <c r="F29" s="1303"/>
      <c r="G29" s="1306"/>
      <c r="I29" s="476"/>
    </row>
    <row r="30" spans="2:22" s="270" customFormat="1" ht="18.75">
      <c r="B30" s="1830"/>
      <c r="C30" s="1822"/>
      <c r="D30" s="1146"/>
      <c r="E30" s="1142"/>
      <c r="F30" s="1303"/>
      <c r="G30" s="1306"/>
      <c r="I30" s="967" t="s">
        <v>751</v>
      </c>
    </row>
    <row r="31" spans="2:22" s="270" customFormat="1" ht="18" thickBot="1">
      <c r="B31" s="1830"/>
      <c r="C31" s="1822"/>
      <c r="D31" s="1148"/>
      <c r="E31" s="1143"/>
      <c r="F31" s="1304"/>
      <c r="G31" s="1307"/>
      <c r="I31" s="476"/>
    </row>
    <row r="32" spans="2:22" s="271" customFormat="1" ht="27" customHeight="1" thickTop="1" thickBot="1">
      <c r="B32" s="1830"/>
      <c r="C32" s="1823"/>
      <c r="D32" s="879"/>
      <c r="E32" s="880" t="s">
        <v>362</v>
      </c>
      <c r="F32" s="1308">
        <f>SUBTOTAL(9,F22:F31)</f>
        <v>0</v>
      </c>
      <c r="G32" s="1309">
        <f>SUBTOTAL(9,G22:G31)</f>
        <v>0</v>
      </c>
      <c r="H32" s="572"/>
      <c r="I32" s="477"/>
    </row>
    <row r="33" spans="2:9" ht="29.45" customHeight="1" thickBot="1">
      <c r="B33" s="1830"/>
      <c r="C33" s="720"/>
      <c r="D33" s="722" t="s">
        <v>99</v>
      </c>
      <c r="E33" s="471" t="s">
        <v>371</v>
      </c>
      <c r="F33" s="573" t="s">
        <v>17</v>
      </c>
      <c r="G33" s="478" t="s">
        <v>290</v>
      </c>
      <c r="H33" s="571"/>
      <c r="I33" s="477"/>
    </row>
    <row r="34" spans="2:9" s="270" customFormat="1" ht="18" thickTop="1">
      <c r="B34" s="1830"/>
      <c r="C34" s="1822" t="s">
        <v>368</v>
      </c>
      <c r="D34" s="1144"/>
      <c r="E34" s="1141"/>
      <c r="F34" s="1302"/>
      <c r="G34" s="1310"/>
      <c r="I34" s="476"/>
    </row>
    <row r="35" spans="2:9" s="270" customFormat="1" ht="17.25">
      <c r="B35" s="1830"/>
      <c r="C35" s="1822"/>
      <c r="D35" s="1146"/>
      <c r="E35" s="1142"/>
      <c r="F35" s="1303"/>
      <c r="G35" s="1311"/>
      <c r="I35" s="476"/>
    </row>
    <row r="36" spans="2:9" s="270" customFormat="1" ht="17.25">
      <c r="B36" s="1830"/>
      <c r="C36" s="1822"/>
      <c r="D36" s="1146"/>
      <c r="E36" s="1142"/>
      <c r="F36" s="1303"/>
      <c r="G36" s="1311"/>
      <c r="I36" s="476"/>
    </row>
    <row r="37" spans="2:9" s="270" customFormat="1" ht="17.25">
      <c r="B37" s="1830"/>
      <c r="C37" s="1822"/>
      <c r="D37" s="1146"/>
      <c r="E37" s="1142"/>
      <c r="F37" s="1303"/>
      <c r="G37" s="1311"/>
      <c r="I37" s="476"/>
    </row>
    <row r="38" spans="2:9" s="270" customFormat="1" ht="17.25">
      <c r="B38" s="1830"/>
      <c r="C38" s="1822"/>
      <c r="D38" s="1146"/>
      <c r="E38" s="1142"/>
      <c r="F38" s="1303"/>
      <c r="G38" s="1311"/>
      <c r="I38" s="476"/>
    </row>
    <row r="39" spans="2:9" s="270" customFormat="1" ht="17.25">
      <c r="B39" s="1830"/>
      <c r="C39" s="1822"/>
      <c r="D39" s="1146"/>
      <c r="E39" s="1142"/>
      <c r="F39" s="1303"/>
      <c r="G39" s="1311"/>
      <c r="I39" s="476"/>
    </row>
    <row r="40" spans="2:9" s="270" customFormat="1" ht="17.25">
      <c r="B40" s="1830"/>
      <c r="C40" s="1822"/>
      <c r="D40" s="1146"/>
      <c r="E40" s="1142"/>
      <c r="F40" s="1303"/>
      <c r="G40" s="1311"/>
      <c r="I40" s="476"/>
    </row>
    <row r="41" spans="2:9" s="270" customFormat="1" ht="17.25">
      <c r="B41" s="1830"/>
      <c r="C41" s="1822"/>
      <c r="D41" s="1146"/>
      <c r="E41" s="1142"/>
      <c r="F41" s="1303"/>
      <c r="G41" s="1311"/>
      <c r="I41" s="476"/>
    </row>
    <row r="42" spans="2:9" s="270" customFormat="1" ht="18.75">
      <c r="B42" s="1830"/>
      <c r="C42" s="1822"/>
      <c r="D42" s="1146"/>
      <c r="E42" s="1142"/>
      <c r="F42" s="1303"/>
      <c r="G42" s="1311"/>
      <c r="I42" s="967" t="s">
        <v>751</v>
      </c>
    </row>
    <row r="43" spans="2:9" s="270" customFormat="1" ht="18" thickBot="1">
      <c r="B43" s="1830"/>
      <c r="C43" s="1822"/>
      <c r="D43" s="1148"/>
      <c r="E43" s="1143"/>
      <c r="F43" s="1304"/>
      <c r="G43" s="1312"/>
      <c r="I43" s="476"/>
    </row>
    <row r="44" spans="2:9" s="271" customFormat="1" ht="27" customHeight="1" thickTop="1" thickBot="1">
      <c r="B44" s="1830"/>
      <c r="C44" s="1822"/>
      <c r="D44" s="879"/>
      <c r="E44" s="880" t="s">
        <v>363</v>
      </c>
      <c r="F44" s="1313">
        <f>SUBTOTAL(9,F34:F43)</f>
        <v>0</v>
      </c>
      <c r="G44" s="1314">
        <f>SUBTOTAL(9,G34:G43)</f>
        <v>0</v>
      </c>
      <c r="I44" s="477"/>
    </row>
    <row r="45" spans="2:9" s="271" customFormat="1" ht="31.9" customHeight="1" thickBot="1">
      <c r="B45" s="1830"/>
      <c r="C45" s="876"/>
      <c r="D45" s="723"/>
      <c r="E45" s="275" t="s">
        <v>364</v>
      </c>
      <c r="F45" s="1315">
        <f>F32+F44</f>
        <v>0</v>
      </c>
      <c r="G45" s="1316">
        <f>G32+G44</f>
        <v>0</v>
      </c>
      <c r="I45" s="477"/>
    </row>
    <row r="46" spans="2:9" ht="29.45" customHeight="1" thickBot="1">
      <c r="B46" s="1830"/>
      <c r="C46" s="876"/>
      <c r="D46" s="722" t="s">
        <v>99</v>
      </c>
      <c r="E46" s="471" t="s">
        <v>371</v>
      </c>
      <c r="F46" s="573" t="s">
        <v>17</v>
      </c>
      <c r="G46" s="478" t="s">
        <v>290</v>
      </c>
      <c r="I46" s="477"/>
    </row>
    <row r="47" spans="2:9" s="270" customFormat="1" ht="24.75" thickTop="1">
      <c r="B47" s="1830"/>
      <c r="C47" s="1825" t="s">
        <v>57</v>
      </c>
      <c r="D47" s="1827" t="s">
        <v>214</v>
      </c>
      <c r="E47" s="1395" t="s">
        <v>373</v>
      </c>
      <c r="F47" s="1317"/>
      <c r="G47" s="1318"/>
      <c r="H47" s="569"/>
      <c r="I47" s="476"/>
    </row>
    <row r="48" spans="2:9" s="270" customFormat="1" ht="17.25">
      <c r="B48" s="1830"/>
      <c r="C48" s="1825"/>
      <c r="D48" s="1828"/>
      <c r="E48" s="1150"/>
      <c r="F48" s="1319"/>
      <c r="G48" s="1319"/>
      <c r="H48" s="569"/>
      <c r="I48" s="476"/>
    </row>
    <row r="49" spans="2:9" s="270" customFormat="1" ht="17.25">
      <c r="B49" s="1830"/>
      <c r="C49" s="1825"/>
      <c r="D49" s="1146"/>
      <c r="E49" s="1151"/>
      <c r="F49" s="1306"/>
      <c r="G49" s="1311"/>
      <c r="H49" s="569"/>
      <c r="I49" s="476"/>
    </row>
    <row r="50" spans="2:9" s="270" customFormat="1" ht="17.25">
      <c r="B50" s="1830"/>
      <c r="C50" s="1825"/>
      <c r="D50" s="1146"/>
      <c r="E50" s="1142"/>
      <c r="F50" s="1306"/>
      <c r="G50" s="1311"/>
      <c r="H50" s="569"/>
      <c r="I50" s="476"/>
    </row>
    <row r="51" spans="2:9" s="270" customFormat="1" ht="17.25">
      <c r="B51" s="1830"/>
      <c r="C51" s="1825"/>
      <c r="D51" s="1146"/>
      <c r="E51" s="1142"/>
      <c r="F51" s="1303"/>
      <c r="G51" s="1311"/>
      <c r="H51" s="569"/>
      <c r="I51" s="476"/>
    </row>
    <row r="52" spans="2:9" s="270" customFormat="1" ht="17.25">
      <c r="B52" s="1830"/>
      <c r="C52" s="1825"/>
      <c r="D52" s="1146"/>
      <c r="E52" s="1142"/>
      <c r="F52" s="1303"/>
      <c r="G52" s="1311"/>
      <c r="H52" s="569"/>
      <c r="I52" s="476"/>
    </row>
    <row r="53" spans="2:9" s="270" customFormat="1" ht="17.25">
      <c r="B53" s="1830"/>
      <c r="C53" s="1825"/>
      <c r="D53" s="1146"/>
      <c r="E53" s="1142"/>
      <c r="F53" s="1303"/>
      <c r="G53" s="1311"/>
      <c r="H53" s="569"/>
      <c r="I53" s="476"/>
    </row>
    <row r="54" spans="2:9" s="270" customFormat="1" ht="18.75">
      <c r="B54" s="1830"/>
      <c r="C54" s="1825"/>
      <c r="D54" s="1146"/>
      <c r="E54" s="1142"/>
      <c r="F54" s="1303"/>
      <c r="G54" s="1311"/>
      <c r="H54" s="569"/>
      <c r="I54" s="967" t="s">
        <v>751</v>
      </c>
    </row>
    <row r="55" spans="2:9" s="270" customFormat="1" ht="18" thickBot="1">
      <c r="B55" s="1830"/>
      <c r="C55" s="1825"/>
      <c r="D55" s="1148"/>
      <c r="E55" s="1143"/>
      <c r="F55" s="1304"/>
      <c r="G55" s="1312"/>
      <c r="H55" s="569"/>
      <c r="I55" s="476"/>
    </row>
    <row r="56" spans="2:9" s="271" customFormat="1" ht="27" customHeight="1" thickTop="1" thickBot="1">
      <c r="B56" s="1830"/>
      <c r="C56" s="1826"/>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19" t="s">
        <v>365</v>
      </c>
      <c r="D58" s="475" t="s">
        <v>46</v>
      </c>
      <c r="E58" s="475" t="s">
        <v>46</v>
      </c>
      <c r="F58" s="1321">
        <v>3</v>
      </c>
      <c r="G58" s="1265"/>
      <c r="H58" s="571"/>
    </row>
    <row r="59" spans="2:9" ht="18" customHeight="1">
      <c r="B59" s="873"/>
      <c r="C59" s="1820"/>
      <c r="D59" s="724" t="s">
        <v>47</v>
      </c>
      <c r="E59" s="475" t="s">
        <v>47</v>
      </c>
      <c r="F59" s="1321">
        <v>3</v>
      </c>
      <c r="G59" s="1265"/>
      <c r="H59" s="571"/>
    </row>
    <row r="60" spans="2:9" ht="18" customHeight="1" thickBot="1">
      <c r="B60" s="874"/>
      <c r="C60" s="1821"/>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 ref="D4:E4"/>
    <mergeCell ref="D3:E3"/>
    <mergeCell ref="B14:C14"/>
    <mergeCell ref="B4:C4"/>
    <mergeCell ref="B3:C3"/>
    <mergeCell ref="B8:C8"/>
    <mergeCell ref="B9:C9"/>
    <mergeCell ref="B10:C10"/>
    <mergeCell ref="B5:C5"/>
    <mergeCell ref="B12:C12"/>
    <mergeCell ref="B13:C13"/>
    <mergeCell ref="D5:E5"/>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K9" sqref="K9"/>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04" t="s">
        <v>443</v>
      </c>
      <c r="C3" s="1805"/>
      <c r="D3" s="1799" t="str">
        <f>Data!$A$11</f>
        <v>離職者等再就職訓練（６箇月）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599</v>
      </c>
      <c r="C7" s="610"/>
      <c r="D7" s="257"/>
      <c r="E7" s="612"/>
    </row>
    <row r="8" spans="1:16" s="3" customFormat="1" ht="38.450000000000003" customHeight="1" thickTop="1">
      <c r="B8" s="1806" t="s">
        <v>111</v>
      </c>
      <c r="C8" s="1807"/>
      <c r="D8" s="1495"/>
      <c r="E8" s="613" t="s">
        <v>555</v>
      </c>
      <c r="H8" s="10"/>
      <c r="I8" s="10"/>
      <c r="J8" s="10"/>
      <c r="K8" s="10"/>
      <c r="L8" s="10"/>
      <c r="M8" s="10"/>
      <c r="N8" s="10"/>
      <c r="O8" s="10"/>
      <c r="P8" s="10"/>
    </row>
    <row r="9" spans="1:16" s="3" customFormat="1" ht="40.15" customHeight="1">
      <c r="B9" s="1539" t="s">
        <v>553</v>
      </c>
      <c r="C9" s="1540"/>
      <c r="D9" s="1496"/>
      <c r="E9" s="403" t="s">
        <v>556</v>
      </c>
      <c r="H9" s="10"/>
      <c r="I9" s="4"/>
      <c r="J9" s="4"/>
      <c r="K9" s="4"/>
      <c r="L9" s="4"/>
      <c r="M9" s="4"/>
      <c r="N9" s="4"/>
      <c r="O9" s="4"/>
      <c r="P9" s="4"/>
    </row>
    <row r="10" spans="1:16" s="3" customFormat="1" ht="37.9" customHeight="1" thickBot="1">
      <c r="B10" s="1541" t="s">
        <v>351</v>
      </c>
      <c r="C10" s="1542"/>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06" t="s">
        <v>111</v>
      </c>
      <c r="C12" s="1807"/>
      <c r="D12" s="1495"/>
      <c r="E12" s="613" t="s">
        <v>555</v>
      </c>
      <c r="H12" s="10"/>
      <c r="I12" s="10"/>
      <c r="J12" s="10"/>
      <c r="K12" s="10"/>
      <c r="L12" s="10"/>
      <c r="M12" s="10"/>
      <c r="N12" s="10"/>
      <c r="O12" s="10"/>
      <c r="P12" s="10"/>
    </row>
    <row r="13" spans="1:16" s="3" customFormat="1" ht="40.15" customHeight="1">
      <c r="B13" s="1539" t="s">
        <v>553</v>
      </c>
      <c r="C13" s="1540"/>
      <c r="D13" s="1496"/>
      <c r="E13" s="403" t="s">
        <v>556</v>
      </c>
      <c r="H13" s="10"/>
      <c r="I13" s="4"/>
      <c r="J13" s="4"/>
      <c r="K13" s="4"/>
      <c r="L13" s="4"/>
      <c r="M13" s="4"/>
      <c r="N13" s="4"/>
      <c r="O13" s="4"/>
      <c r="P13" s="4"/>
    </row>
    <row r="14" spans="1:16" s="3" customFormat="1" ht="37.9" customHeight="1" thickBot="1">
      <c r="B14" s="1541" t="s">
        <v>351</v>
      </c>
      <c r="C14" s="1542"/>
      <c r="D14" s="1481"/>
      <c r="E14" s="611" t="s">
        <v>752</v>
      </c>
      <c r="H14" s="10"/>
      <c r="I14" s="10"/>
      <c r="J14" s="10"/>
      <c r="K14" s="10"/>
      <c r="L14" s="10"/>
      <c r="M14" s="10"/>
      <c r="N14" s="10"/>
      <c r="O14" s="10"/>
      <c r="P14" s="10"/>
    </row>
    <row r="15" spans="1:16" ht="24.6" customHeight="1" thickBot="1">
      <c r="B15" s="399" t="s">
        <v>394</v>
      </c>
      <c r="C15" s="268"/>
      <c r="D15" s="1833"/>
      <c r="E15" s="1833"/>
      <c r="F15" s="269"/>
      <c r="G15" s="269"/>
    </row>
    <row r="16" spans="1:16" ht="37.9" customHeight="1">
      <c r="B16" s="1646" t="s">
        <v>597</v>
      </c>
      <c r="C16" s="1840"/>
      <c r="D16" s="1248">
        <f>F63+F86+F75</f>
        <v>0</v>
      </c>
      <c r="E16" s="272" t="s">
        <v>52</v>
      </c>
    </row>
    <row r="17" spans="2:22" ht="30" customHeight="1">
      <c r="B17" s="1811" t="s">
        <v>524</v>
      </c>
      <c r="C17" s="1841"/>
      <c r="D17" s="1268">
        <f>G38+G50+G62+G75+G86</f>
        <v>0</v>
      </c>
      <c r="E17" s="609" t="s">
        <v>396</v>
      </c>
      <c r="F17" s="607"/>
      <c r="G17" s="585"/>
      <c r="I17" s="401"/>
    </row>
    <row r="18" spans="2:22" ht="33" customHeight="1" thickBot="1">
      <c r="B18" s="1801" t="s">
        <v>551</v>
      </c>
      <c r="C18" s="1808"/>
      <c r="D18" s="1267" t="str">
        <f>IF(D17=0,"オンライン設定無し",ROUNDUP(D17/D16,3)*100&amp;"%")</f>
        <v>オンライン設定無し</v>
      </c>
      <c r="E18" s="608" t="s">
        <v>552</v>
      </c>
      <c r="F18" s="607"/>
      <c r="G18" s="585"/>
      <c r="I18" s="401"/>
    </row>
    <row r="19" spans="2:22" ht="30" customHeight="1" thickBot="1">
      <c r="B19" s="1717" t="s">
        <v>531</v>
      </c>
      <c r="C19" s="1842"/>
      <c r="D19" s="1249">
        <f>F63</f>
        <v>0</v>
      </c>
      <c r="E19" s="396" t="str">
        <f>CONCATENATE("時間(",K19,L19,M19,N19,")")</f>
        <v>時間(600時間以上)</v>
      </c>
      <c r="F19" s="1815"/>
      <c r="G19" s="1816"/>
      <c r="J19" s="249"/>
      <c r="K19" s="402">
        <f>VLOOKUP($D$3,祝日!$K$3:$S$25,3,FALSE)</f>
        <v>600</v>
      </c>
      <c r="L19" s="221" t="s">
        <v>404</v>
      </c>
      <c r="M19" s="402" t="str">
        <f>IF(VLOOKUP($D$3,祝日!$K$3:$S$25,4,FALSE)=999,"",VLOOKUP($D$3,祝日!$K$3:$S$25,4,FALSE))</f>
        <v/>
      </c>
      <c r="N19" s="95" t="str">
        <f>IF(M19="","","時間以下")</f>
        <v/>
      </c>
      <c r="O19" s="95"/>
    </row>
    <row r="20" spans="2:22" ht="30" customHeight="1">
      <c r="B20" s="1633" t="s">
        <v>391</v>
      </c>
      <c r="C20" s="1824"/>
      <c r="D20" s="1250">
        <f>F38</f>
        <v>0</v>
      </c>
      <c r="E20" s="273" t="s">
        <v>52</v>
      </c>
      <c r="F20" s="1817"/>
      <c r="G20" s="1818"/>
    </row>
    <row r="21" spans="2:22" ht="30" customHeight="1" thickBot="1">
      <c r="B21" s="1633" t="s">
        <v>392</v>
      </c>
      <c r="C21" s="1824"/>
      <c r="D21" s="1250">
        <f>F50</f>
        <v>0</v>
      </c>
      <c r="E21" s="273" t="s">
        <v>52</v>
      </c>
      <c r="F21" s="1817"/>
      <c r="G21" s="1818"/>
    </row>
    <row r="22" spans="2:22" ht="30" customHeight="1" thickBot="1">
      <c r="B22" s="1623" t="s">
        <v>528</v>
      </c>
      <c r="C22" s="1839"/>
      <c r="D22" s="1257">
        <f>F62</f>
        <v>0</v>
      </c>
      <c r="E22" s="586" t="str">
        <f>CONCATENATE("時間(",K22,L22,M22,N22,")")</f>
        <v>時間(0時間以上0時間以下)</v>
      </c>
      <c r="F22" s="1817"/>
      <c r="G22" s="1818"/>
      <c r="K22" s="402">
        <f>VLOOKUP($D$3,祝日!$K$3:$W$25,10,FALSE)</f>
        <v>0</v>
      </c>
      <c r="L22" s="221" t="s">
        <v>404</v>
      </c>
      <c r="M22" s="402">
        <f>IF(VLOOKUP($D$3,祝日!$K$3:$W$25,11,FALSE)=999,"",VLOOKUP($D$3,祝日!$K$3:$W$25,11,FALSE))</f>
        <v>0</v>
      </c>
      <c r="N22" s="95" t="str">
        <f>IF(M22="","","時間以下")</f>
        <v>時間以下</v>
      </c>
    </row>
    <row r="23" spans="2:22" ht="30" customHeight="1" thickBot="1">
      <c r="B23" s="1831" t="s">
        <v>529</v>
      </c>
      <c r="C23" s="1832"/>
      <c r="D23" s="1251">
        <f>F75</f>
        <v>0</v>
      </c>
      <c r="E23" s="587" t="str">
        <f>CONCATENATE("時間(",K23,L23,M23,N23,")")</f>
        <v>時間(0時間以上0時間以下)</v>
      </c>
      <c r="F23" s="1817"/>
      <c r="G23" s="1818"/>
      <c r="K23" s="402">
        <f>VLOOKUP($D$3,祝日!$K$3:$W$25,12,FALSE)</f>
        <v>0</v>
      </c>
      <c r="L23" s="221" t="s">
        <v>404</v>
      </c>
      <c r="M23" s="402">
        <f>IF(VLOOKUP($D$3,祝日!$K$3:$W$25,13,FALSE)=999,"",VLOOKUP($D$3,祝日!$K$3:$W$25,13,FALSE))</f>
        <v>0</v>
      </c>
      <c r="N23" s="95" t="str">
        <f>IF(M23="","","時間以下")</f>
        <v>時間以下</v>
      </c>
    </row>
    <row r="24" spans="2:22" customFormat="1" ht="30" customHeight="1" thickBot="1">
      <c r="B24" s="1642" t="s">
        <v>395</v>
      </c>
      <c r="C24" s="1829"/>
      <c r="D24" s="1251">
        <f>F86</f>
        <v>0</v>
      </c>
      <c r="E24" s="277" t="str">
        <f>CONCATENATE("時間(",K24,L24,M24,N24,")")</f>
        <v>時間(24時間以上)</v>
      </c>
      <c r="F24" s="1815"/>
      <c r="G24" s="1816"/>
      <c r="J24" s="249"/>
      <c r="K24" s="402">
        <f>VLOOKUP($D$3,祝日!$K$3:$S$25,5,FALSE)</f>
        <v>24</v>
      </c>
      <c r="L24" s="221" t="s">
        <v>404</v>
      </c>
      <c r="M24" s="402" t="str">
        <f>IF(VLOOKUP($D$3,祝日!$K$3:$S$25,6,FALSE)=999,"",VLOOKUP($D$3,祝日!$K$3:$S$25,6,FALSE))</f>
        <v/>
      </c>
      <c r="N24" s="95" t="str">
        <f>IF(M24="","","時間以下")</f>
        <v/>
      </c>
      <c r="O24" s="95"/>
      <c r="T24" s="221"/>
      <c r="U24" s="221"/>
      <c r="V24" s="221"/>
    </row>
    <row r="25" spans="2:22" ht="30" customHeight="1" thickBot="1">
      <c r="B25" s="1644" t="s">
        <v>743</v>
      </c>
      <c r="C25" s="1808"/>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43" t="s">
        <v>366</v>
      </c>
      <c r="C28" s="1838" t="s">
        <v>367</v>
      </c>
      <c r="D28" s="1144"/>
      <c r="E28" s="1141"/>
      <c r="F28" s="1145"/>
      <c r="G28" s="377"/>
      <c r="I28" s="476"/>
    </row>
    <row r="29" spans="2:22" s="270" customFormat="1" ht="17.25">
      <c r="B29" s="1830"/>
      <c r="C29" s="1822"/>
      <c r="D29" s="1146"/>
      <c r="E29" s="1142"/>
      <c r="F29" s="1147"/>
      <c r="G29" s="378"/>
      <c r="I29" s="476"/>
    </row>
    <row r="30" spans="2:22" s="270" customFormat="1" ht="17.25">
      <c r="B30" s="1830"/>
      <c r="C30" s="1822"/>
      <c r="D30" s="1146"/>
      <c r="E30" s="1142"/>
      <c r="F30" s="1147"/>
      <c r="G30" s="378"/>
      <c r="I30" s="476"/>
    </row>
    <row r="31" spans="2:22" s="270" customFormat="1" ht="17.25">
      <c r="B31" s="1830"/>
      <c r="C31" s="1822"/>
      <c r="D31" s="1146"/>
      <c r="E31" s="1142"/>
      <c r="F31" s="1147"/>
      <c r="G31" s="378"/>
      <c r="I31" s="476"/>
    </row>
    <row r="32" spans="2:22" s="270" customFormat="1" ht="17.25">
      <c r="B32" s="1830"/>
      <c r="C32" s="1822"/>
      <c r="D32" s="1146"/>
      <c r="E32" s="1142"/>
      <c r="F32" s="1147"/>
      <c r="G32" s="378"/>
      <c r="I32" s="476"/>
    </row>
    <row r="33" spans="2:9" s="270" customFormat="1" ht="17.25">
      <c r="B33" s="1830"/>
      <c r="C33" s="1822"/>
      <c r="D33" s="1146"/>
      <c r="E33" s="1142"/>
      <c r="F33" s="1147"/>
      <c r="G33" s="378"/>
      <c r="I33" s="476"/>
    </row>
    <row r="34" spans="2:9" s="270" customFormat="1" ht="17.25">
      <c r="B34" s="1830"/>
      <c r="C34" s="1822"/>
      <c r="D34" s="1146"/>
      <c r="E34" s="1142"/>
      <c r="F34" s="1147"/>
      <c r="G34" s="378"/>
      <c r="I34" s="476"/>
    </row>
    <row r="35" spans="2:9" s="270" customFormat="1" ht="17.25">
      <c r="B35" s="1830"/>
      <c r="C35" s="1822"/>
      <c r="D35" s="1146"/>
      <c r="E35" s="1142"/>
      <c r="F35" s="1147"/>
      <c r="G35" s="378"/>
      <c r="I35" s="476"/>
    </row>
    <row r="36" spans="2:9" s="270" customFormat="1" ht="18.75">
      <c r="B36" s="1830"/>
      <c r="C36" s="1822"/>
      <c r="D36" s="1146"/>
      <c r="E36" s="1142"/>
      <c r="F36" s="1147"/>
      <c r="G36" s="378"/>
      <c r="I36" s="967" t="s">
        <v>751</v>
      </c>
    </row>
    <row r="37" spans="2:9" s="270" customFormat="1" ht="18" thickBot="1">
      <c r="B37" s="1830"/>
      <c r="C37" s="1822"/>
      <c r="D37" s="1148"/>
      <c r="E37" s="1143"/>
      <c r="F37" s="1149"/>
      <c r="G37" s="379"/>
      <c r="I37" s="476"/>
    </row>
    <row r="38" spans="2:9" s="271" customFormat="1" ht="27" customHeight="1" thickTop="1" thickBot="1">
      <c r="B38" s="1830"/>
      <c r="C38" s="1822"/>
      <c r="D38" s="879"/>
      <c r="E38" s="878" t="s">
        <v>362</v>
      </c>
      <c r="F38" s="1258">
        <f>SUBTOTAL(9,F28:F37)</f>
        <v>0</v>
      </c>
      <c r="G38" s="1260">
        <f>SUBTOTAL(9,G28:G37)</f>
        <v>0</v>
      </c>
      <c r="H38" s="572"/>
      <c r="I38" s="477"/>
    </row>
    <row r="39" spans="2:9" ht="29.45" customHeight="1" thickBot="1">
      <c r="B39" s="1830"/>
      <c r="C39" s="721"/>
      <c r="D39" s="722" t="s">
        <v>99</v>
      </c>
      <c r="E39" s="471" t="s">
        <v>371</v>
      </c>
      <c r="F39" s="471" t="s">
        <v>17</v>
      </c>
      <c r="G39" s="478" t="s">
        <v>290</v>
      </c>
      <c r="H39" s="571"/>
      <c r="I39" s="477"/>
    </row>
    <row r="40" spans="2:9" s="270" customFormat="1" ht="18" thickTop="1">
      <c r="B40" s="1830"/>
      <c r="C40" s="1822" t="s">
        <v>368</v>
      </c>
      <c r="D40" s="1144"/>
      <c r="E40" s="1141"/>
      <c r="F40" s="1145"/>
      <c r="G40" s="380"/>
      <c r="I40" s="476"/>
    </row>
    <row r="41" spans="2:9" s="270" customFormat="1" ht="17.25">
      <c r="B41" s="1830"/>
      <c r="C41" s="1822"/>
      <c r="D41" s="1146"/>
      <c r="E41" s="1142"/>
      <c r="F41" s="1147"/>
      <c r="G41" s="381"/>
      <c r="I41" s="476"/>
    </row>
    <row r="42" spans="2:9" s="270" customFormat="1" ht="17.25">
      <c r="B42" s="1830"/>
      <c r="C42" s="1822"/>
      <c r="D42" s="1146"/>
      <c r="E42" s="1142"/>
      <c r="F42" s="1147"/>
      <c r="G42" s="381"/>
      <c r="I42" s="476"/>
    </row>
    <row r="43" spans="2:9" s="270" customFormat="1" ht="17.25">
      <c r="B43" s="1830"/>
      <c r="C43" s="1822"/>
      <c r="D43" s="1146"/>
      <c r="E43" s="1142"/>
      <c r="F43" s="1147"/>
      <c r="G43" s="381"/>
      <c r="I43" s="476"/>
    </row>
    <row r="44" spans="2:9" s="270" customFormat="1" ht="17.25">
      <c r="B44" s="1830"/>
      <c r="C44" s="1822"/>
      <c r="D44" s="1146"/>
      <c r="E44" s="1142"/>
      <c r="F44" s="1147"/>
      <c r="G44" s="381"/>
      <c r="I44" s="476"/>
    </row>
    <row r="45" spans="2:9" s="270" customFormat="1" ht="17.25">
      <c r="B45" s="1830"/>
      <c r="C45" s="1822"/>
      <c r="D45" s="1146"/>
      <c r="E45" s="1142"/>
      <c r="F45" s="1147"/>
      <c r="G45" s="381"/>
      <c r="I45" s="476"/>
    </row>
    <row r="46" spans="2:9" s="270" customFormat="1" ht="17.25">
      <c r="B46" s="1830"/>
      <c r="C46" s="1822"/>
      <c r="D46" s="1146"/>
      <c r="E46" s="1142"/>
      <c r="F46" s="1147"/>
      <c r="G46" s="381"/>
      <c r="I46" s="476"/>
    </row>
    <row r="47" spans="2:9" s="270" customFormat="1" ht="17.25">
      <c r="B47" s="1830"/>
      <c r="C47" s="1822"/>
      <c r="D47" s="1146"/>
      <c r="E47" s="1142"/>
      <c r="F47" s="1147"/>
      <c r="G47" s="381"/>
      <c r="I47" s="476"/>
    </row>
    <row r="48" spans="2:9" s="270" customFormat="1" ht="18.75">
      <c r="B48" s="1830"/>
      <c r="C48" s="1822"/>
      <c r="D48" s="1146"/>
      <c r="E48" s="1142"/>
      <c r="F48" s="1147"/>
      <c r="G48" s="381"/>
      <c r="I48" s="967" t="s">
        <v>751</v>
      </c>
    </row>
    <row r="49" spans="2:9" s="270" customFormat="1" ht="18" thickBot="1">
      <c r="B49" s="1830"/>
      <c r="C49" s="1822"/>
      <c r="D49" s="1148"/>
      <c r="E49" s="1143"/>
      <c r="F49" s="1149"/>
      <c r="G49" s="382"/>
      <c r="I49" s="476"/>
    </row>
    <row r="50" spans="2:9" s="271" customFormat="1" ht="27" customHeight="1" thickTop="1" thickBot="1">
      <c r="B50" s="1830"/>
      <c r="C50" s="1822"/>
      <c r="D50" s="879"/>
      <c r="E50" s="880" t="s">
        <v>363</v>
      </c>
      <c r="F50" s="1253">
        <f>SUBTOTAL(9,F40:F49)</f>
        <v>0</v>
      </c>
      <c r="G50" s="1261">
        <f>SUBTOTAL(9,G40:G49)</f>
        <v>0</v>
      </c>
      <c r="I50" s="477"/>
    </row>
    <row r="51" spans="2:9" ht="29.45" customHeight="1" thickBot="1">
      <c r="B51" s="1830"/>
      <c r="C51" s="721"/>
      <c r="D51" s="722" t="s">
        <v>99</v>
      </c>
      <c r="E51" s="471" t="s">
        <v>371</v>
      </c>
      <c r="F51" s="471" t="s">
        <v>17</v>
      </c>
      <c r="G51" s="478" t="s">
        <v>290</v>
      </c>
      <c r="H51" s="571"/>
      <c r="I51" s="477"/>
    </row>
    <row r="52" spans="2:9" s="270" customFormat="1" ht="18" thickTop="1">
      <c r="B52" s="1830"/>
      <c r="C52" s="1838" t="s">
        <v>494</v>
      </c>
      <c r="D52" s="1144"/>
      <c r="E52" s="1141"/>
      <c r="F52" s="1145"/>
      <c r="G52" s="380"/>
      <c r="I52" s="476"/>
    </row>
    <row r="53" spans="2:9" s="270" customFormat="1" ht="17.25">
      <c r="B53" s="1830"/>
      <c r="C53" s="1822"/>
      <c r="D53" s="1146"/>
      <c r="E53" s="1142"/>
      <c r="F53" s="1147"/>
      <c r="G53" s="381"/>
      <c r="I53" s="476"/>
    </row>
    <row r="54" spans="2:9" s="270" customFormat="1" ht="17.25">
      <c r="B54" s="1830"/>
      <c r="C54" s="1822"/>
      <c r="D54" s="1146"/>
      <c r="E54" s="1142"/>
      <c r="F54" s="1147"/>
      <c r="G54" s="381"/>
      <c r="I54" s="476"/>
    </row>
    <row r="55" spans="2:9" s="270" customFormat="1" ht="17.25">
      <c r="B55" s="1830"/>
      <c r="C55" s="1822"/>
      <c r="D55" s="1146"/>
      <c r="E55" s="1142"/>
      <c r="F55" s="1147"/>
      <c r="G55" s="381"/>
      <c r="I55" s="476"/>
    </row>
    <row r="56" spans="2:9" s="270" customFormat="1" ht="17.25">
      <c r="B56" s="1830"/>
      <c r="C56" s="1822"/>
      <c r="D56" s="1146"/>
      <c r="E56" s="1142"/>
      <c r="F56" s="1147"/>
      <c r="G56" s="381"/>
      <c r="I56" s="476"/>
    </row>
    <row r="57" spans="2:9" s="270" customFormat="1" ht="17.25">
      <c r="B57" s="1830"/>
      <c r="C57" s="1822"/>
      <c r="D57" s="1146"/>
      <c r="E57" s="1142"/>
      <c r="F57" s="1147"/>
      <c r="G57" s="381"/>
      <c r="I57" s="476"/>
    </row>
    <row r="58" spans="2:9" s="270" customFormat="1" ht="17.25">
      <c r="B58" s="1830"/>
      <c r="C58" s="1822"/>
      <c r="D58" s="1146"/>
      <c r="E58" s="1142"/>
      <c r="F58" s="1147"/>
      <c r="G58" s="381"/>
      <c r="I58" s="476"/>
    </row>
    <row r="59" spans="2:9" s="270" customFormat="1" ht="17.25">
      <c r="B59" s="1830"/>
      <c r="C59" s="1822"/>
      <c r="D59" s="1146"/>
      <c r="E59" s="1142"/>
      <c r="F59" s="1147"/>
      <c r="G59" s="381"/>
      <c r="I59" s="476"/>
    </row>
    <row r="60" spans="2:9" s="270" customFormat="1" ht="18.75">
      <c r="B60" s="1830"/>
      <c r="C60" s="1822"/>
      <c r="D60" s="1146"/>
      <c r="E60" s="1142"/>
      <c r="F60" s="1147"/>
      <c r="G60" s="381"/>
      <c r="I60" s="967" t="s">
        <v>751</v>
      </c>
    </row>
    <row r="61" spans="2:9" s="270" customFormat="1" ht="18" thickBot="1">
      <c r="B61" s="1830"/>
      <c r="C61" s="1822"/>
      <c r="D61" s="1148"/>
      <c r="E61" s="1143"/>
      <c r="F61" s="1149"/>
      <c r="G61" s="382"/>
      <c r="I61" s="476"/>
    </row>
    <row r="62" spans="2:9" s="271" customFormat="1" ht="27" customHeight="1" thickTop="1" thickBot="1">
      <c r="B62" s="1830"/>
      <c r="C62" s="1823"/>
      <c r="D62" s="879"/>
      <c r="E62" s="880" t="s">
        <v>530</v>
      </c>
      <c r="F62" s="1253">
        <f>SUBTOTAL(9,F52:F61)</f>
        <v>0</v>
      </c>
      <c r="G62" s="1261">
        <f>SUBTOTAL(9,G52:G61)</f>
        <v>0</v>
      </c>
      <c r="I62" s="477"/>
    </row>
    <row r="63" spans="2:9" s="271" customFormat="1" ht="31.9" customHeight="1" thickBot="1">
      <c r="B63" s="1830"/>
      <c r="C63" s="877"/>
      <c r="D63" s="1834" t="s">
        <v>525</v>
      </c>
      <c r="E63" s="1835"/>
      <c r="F63" s="1254">
        <f>F38+F50+F62</f>
        <v>0</v>
      </c>
      <c r="G63" s="1262">
        <f>G38+G50</f>
        <v>0</v>
      </c>
      <c r="I63" s="477"/>
    </row>
    <row r="64" spans="2:9" ht="29.45" customHeight="1" thickBot="1">
      <c r="B64" s="1830"/>
      <c r="C64" s="721"/>
      <c r="D64" s="725" t="s">
        <v>99</v>
      </c>
      <c r="E64" s="471" t="s">
        <v>371</v>
      </c>
      <c r="F64" s="471" t="s">
        <v>17</v>
      </c>
      <c r="G64" s="478" t="s">
        <v>290</v>
      </c>
      <c r="H64" s="571"/>
      <c r="I64" s="477"/>
    </row>
    <row r="65" spans="2:11" s="270" customFormat="1" ht="18" thickTop="1">
      <c r="B65" s="1830"/>
      <c r="C65" s="1838" t="s">
        <v>483</v>
      </c>
      <c r="D65" s="1144"/>
      <c r="E65" s="1141"/>
      <c r="F65" s="1145"/>
      <c r="G65" s="380"/>
      <c r="I65" s="476"/>
    </row>
    <row r="66" spans="2:11" s="270" customFormat="1" ht="17.25">
      <c r="B66" s="1830"/>
      <c r="C66" s="1822"/>
      <c r="D66" s="1146"/>
      <c r="E66" s="1142"/>
      <c r="F66" s="1147"/>
      <c r="G66" s="381"/>
      <c r="I66" s="476"/>
    </row>
    <row r="67" spans="2:11" s="270" customFormat="1" ht="17.25">
      <c r="B67" s="1830"/>
      <c r="C67" s="1822"/>
      <c r="D67" s="1146"/>
      <c r="E67" s="1142"/>
      <c r="F67" s="1147"/>
      <c r="G67" s="381"/>
      <c r="I67" s="476"/>
      <c r="K67" s="1498"/>
    </row>
    <row r="68" spans="2:11" s="270" customFormat="1" ht="17.25">
      <c r="B68" s="1830"/>
      <c r="C68" s="1822"/>
      <c r="D68" s="1146"/>
      <c r="E68" s="1142"/>
      <c r="F68" s="1147"/>
      <c r="G68" s="381"/>
      <c r="I68" s="476"/>
    </row>
    <row r="69" spans="2:11" s="270" customFormat="1" ht="17.25">
      <c r="B69" s="1830"/>
      <c r="C69" s="1822"/>
      <c r="D69" s="1146"/>
      <c r="E69" s="1142"/>
      <c r="F69" s="1147"/>
      <c r="G69" s="381"/>
      <c r="I69" s="476"/>
    </row>
    <row r="70" spans="2:11" s="270" customFormat="1" ht="17.25">
      <c r="B70" s="1830"/>
      <c r="C70" s="1822"/>
      <c r="D70" s="1146"/>
      <c r="E70" s="1142"/>
      <c r="F70" s="1147"/>
      <c r="G70" s="381"/>
      <c r="I70" s="476"/>
    </row>
    <row r="71" spans="2:11" s="270" customFormat="1" ht="17.25">
      <c r="B71" s="1830"/>
      <c r="C71" s="1822"/>
      <c r="D71" s="1146"/>
      <c r="E71" s="1142"/>
      <c r="F71" s="1147"/>
      <c r="G71" s="381"/>
      <c r="I71" s="476"/>
    </row>
    <row r="72" spans="2:11" s="270" customFormat="1" ht="17.25">
      <c r="B72" s="1830"/>
      <c r="C72" s="1822"/>
      <c r="D72" s="1146"/>
      <c r="E72" s="1142"/>
      <c r="F72" s="1147"/>
      <c r="G72" s="381"/>
      <c r="I72" s="476"/>
    </row>
    <row r="73" spans="2:11" s="270" customFormat="1" ht="18.75">
      <c r="B73" s="1830"/>
      <c r="C73" s="1822"/>
      <c r="D73" s="1146"/>
      <c r="E73" s="1142"/>
      <c r="F73" s="1147"/>
      <c r="G73" s="381"/>
      <c r="I73" s="967" t="s">
        <v>751</v>
      </c>
    </row>
    <row r="74" spans="2:11" s="270" customFormat="1" ht="18" thickBot="1">
      <c r="B74" s="1830"/>
      <c r="C74" s="1822"/>
      <c r="D74" s="1148"/>
      <c r="E74" s="1143"/>
      <c r="F74" s="1149"/>
      <c r="G74" s="382"/>
      <c r="I74" s="476"/>
    </row>
    <row r="75" spans="2:11" s="271" customFormat="1" ht="27" customHeight="1" thickTop="1" thickBot="1">
      <c r="B75" s="1830"/>
      <c r="C75" s="1823"/>
      <c r="D75" s="879"/>
      <c r="E75" s="880" t="s">
        <v>527</v>
      </c>
      <c r="F75" s="1253">
        <f>SUBTOTAL(9,F65:F74)</f>
        <v>0</v>
      </c>
      <c r="G75" s="1261">
        <f>SUBTOTAL(9,G65:G74)</f>
        <v>0</v>
      </c>
      <c r="I75" s="477"/>
    </row>
    <row r="76" spans="2:11" ht="29.45" customHeight="1" thickBot="1">
      <c r="B76" s="1830"/>
      <c r="C76" s="876"/>
      <c r="D76" s="725" t="s">
        <v>99</v>
      </c>
      <c r="E76" s="471" t="s">
        <v>371</v>
      </c>
      <c r="F76" s="573" t="s">
        <v>17</v>
      </c>
      <c r="G76" s="478" t="s">
        <v>290</v>
      </c>
      <c r="I76" s="477"/>
    </row>
    <row r="77" spans="2:11" s="270" customFormat="1" ht="24.75" thickTop="1">
      <c r="B77" s="1830"/>
      <c r="C77" s="1822" t="s">
        <v>57</v>
      </c>
      <c r="D77" s="1827" t="s">
        <v>214</v>
      </c>
      <c r="E77" s="1395" t="s">
        <v>373</v>
      </c>
      <c r="F77" s="1396"/>
      <c r="G77" s="472"/>
      <c r="H77" s="569"/>
      <c r="I77" s="476"/>
    </row>
    <row r="78" spans="2:11" s="270" customFormat="1" ht="17.25">
      <c r="B78" s="1830"/>
      <c r="C78" s="1822"/>
      <c r="D78" s="1828"/>
      <c r="E78" s="1150"/>
      <c r="F78" s="1397"/>
      <c r="G78" s="574"/>
      <c r="H78" s="569"/>
      <c r="I78" s="476"/>
    </row>
    <row r="79" spans="2:11" s="270" customFormat="1" ht="17.25">
      <c r="B79" s="1830"/>
      <c r="C79" s="1822"/>
      <c r="D79" s="1146"/>
      <c r="E79" s="1151"/>
      <c r="F79" s="1398"/>
      <c r="G79" s="381"/>
      <c r="H79" s="569"/>
      <c r="I79" s="476"/>
    </row>
    <row r="80" spans="2:11" s="270" customFormat="1" ht="17.25">
      <c r="B80" s="1830"/>
      <c r="C80" s="1822"/>
      <c r="D80" s="1146"/>
      <c r="E80" s="1142"/>
      <c r="F80" s="1398"/>
      <c r="G80" s="381"/>
      <c r="H80" s="569"/>
      <c r="I80" s="476"/>
    </row>
    <row r="81" spans="2:9" s="270" customFormat="1" ht="17.25">
      <c r="B81" s="1830"/>
      <c r="C81" s="1822"/>
      <c r="D81" s="1146"/>
      <c r="E81" s="1142"/>
      <c r="F81" s="1147"/>
      <c r="G81" s="381"/>
      <c r="H81" s="569"/>
      <c r="I81" s="476"/>
    </row>
    <row r="82" spans="2:9" s="270" customFormat="1" ht="17.25">
      <c r="B82" s="1830"/>
      <c r="C82" s="1822"/>
      <c r="D82" s="1146"/>
      <c r="E82" s="1142"/>
      <c r="F82" s="1147"/>
      <c r="G82" s="381"/>
      <c r="H82" s="569"/>
      <c r="I82" s="476"/>
    </row>
    <row r="83" spans="2:9" s="270" customFormat="1" ht="17.25">
      <c r="B83" s="1830"/>
      <c r="C83" s="1822"/>
      <c r="D83" s="1146"/>
      <c r="E83" s="1142"/>
      <c r="F83" s="1147"/>
      <c r="G83" s="381"/>
      <c r="H83" s="569"/>
      <c r="I83" s="476"/>
    </row>
    <row r="84" spans="2:9" s="270" customFormat="1" ht="18.75">
      <c r="B84" s="1830"/>
      <c r="C84" s="1822"/>
      <c r="D84" s="1146"/>
      <c r="E84" s="1142"/>
      <c r="F84" s="1147"/>
      <c r="G84" s="381"/>
      <c r="H84" s="569"/>
      <c r="I84" s="967" t="s">
        <v>751</v>
      </c>
    </row>
    <row r="85" spans="2:9" s="270" customFormat="1" ht="18" thickBot="1">
      <c r="B85" s="1830"/>
      <c r="C85" s="1822"/>
      <c r="D85" s="1148"/>
      <c r="E85" s="1143"/>
      <c r="F85" s="1149"/>
      <c r="G85" s="382"/>
      <c r="H85" s="569"/>
      <c r="I85" s="476"/>
    </row>
    <row r="86" spans="2:9" s="271" customFormat="1" ht="27" customHeight="1" thickTop="1" thickBot="1">
      <c r="B86" s="1830"/>
      <c r="C86" s="1823"/>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6" t="s">
        <v>365</v>
      </c>
      <c r="D88" s="475" t="s">
        <v>46</v>
      </c>
      <c r="E88" s="475" t="s">
        <v>46</v>
      </c>
      <c r="F88" s="1255">
        <v>3</v>
      </c>
      <c r="G88" s="1265"/>
      <c r="H88" s="571"/>
    </row>
    <row r="89" spans="2:9" ht="18" customHeight="1">
      <c r="B89" s="873"/>
      <c r="C89" s="1836"/>
      <c r="D89" s="724" t="s">
        <v>47</v>
      </c>
      <c r="E89" s="475" t="s">
        <v>47</v>
      </c>
      <c r="F89" s="1255">
        <v>3</v>
      </c>
      <c r="G89" s="1265"/>
      <c r="H89" s="571"/>
    </row>
    <row r="90" spans="2:9" ht="18" customHeight="1" thickBot="1">
      <c r="B90" s="874"/>
      <c r="C90" s="1837"/>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 ref="B8:C8"/>
    <mergeCell ref="B9:C9"/>
    <mergeCell ref="B3:C3"/>
    <mergeCell ref="B4:C4"/>
    <mergeCell ref="B5:C5"/>
    <mergeCell ref="D3:E3"/>
    <mergeCell ref="D4:E4"/>
    <mergeCell ref="D5:E5"/>
    <mergeCell ref="D15:E15"/>
    <mergeCell ref="D63:E63"/>
    <mergeCell ref="C77:C86"/>
    <mergeCell ref="B23:C23"/>
    <mergeCell ref="F23:G23"/>
    <mergeCell ref="B21:C21"/>
    <mergeCell ref="F21:G21"/>
    <mergeCell ref="F24:G24"/>
    <mergeCell ref="D77:D78"/>
    <mergeCell ref="F19:G19"/>
    <mergeCell ref="B20:C20"/>
    <mergeCell ref="F20:G20"/>
    <mergeCell ref="B18:C18"/>
    <mergeCell ref="F22:G22"/>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04" t="s">
        <v>443</v>
      </c>
      <c r="C3" s="1805"/>
      <c r="D3" s="1799" t="str">
        <f>Data!$A$11</f>
        <v>離職者等再就職訓練（６箇月）</v>
      </c>
      <c r="E3" s="1800"/>
    </row>
    <row r="4" spans="1:8" s="221" customFormat="1" ht="29.25" customHeight="1">
      <c r="B4" s="1624" t="s">
        <v>580</v>
      </c>
      <c r="C4" s="1803"/>
      <c r="D4" s="1797" t="str">
        <f>Data!$I$69</f>
        <v/>
      </c>
      <c r="E4" s="1798"/>
    </row>
    <row r="5" spans="1:8" s="221" customFormat="1" ht="29.25" customHeight="1" thickBot="1">
      <c r="B5" s="1644" t="s">
        <v>16</v>
      </c>
      <c r="C5" s="1808"/>
      <c r="D5" s="1813" t="str">
        <f>Data!$A$9</f>
        <v/>
      </c>
      <c r="E5" s="1814"/>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66"/>
      <c r="C8" s="499" t="s">
        <v>49</v>
      </c>
      <c r="D8" s="1472"/>
      <c r="E8" s="445" t="s">
        <v>380</v>
      </c>
      <c r="H8" s="404"/>
    </row>
    <row r="9" spans="1:8" ht="30" customHeight="1" thickTop="1">
      <c r="B9" s="1628"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21"/>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21"/>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21"/>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66"/>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06" t="s">
        <v>25</v>
      </c>
      <c r="C14" s="1507"/>
      <c r="D14" s="676"/>
      <c r="E14" s="363" t="s">
        <v>380</v>
      </c>
      <c r="H14" s="404"/>
    </row>
    <row r="15" spans="1:8" ht="24.95" customHeight="1" thickTop="1" thickBot="1">
      <c r="A15" s="221"/>
      <c r="B15" s="1693" t="s">
        <v>370</v>
      </c>
      <c r="C15" s="578" t="s">
        <v>369</v>
      </c>
      <c r="D15" s="1499"/>
      <c r="E15" s="363" t="s">
        <v>380</v>
      </c>
      <c r="H15" s="404"/>
    </row>
    <row r="16" spans="1:8" ht="84" customHeight="1" thickTop="1" thickBot="1">
      <c r="A16" s="221"/>
      <c r="B16" s="1718"/>
      <c r="C16" s="578" t="s">
        <v>442</v>
      </c>
      <c r="D16" s="357"/>
      <c r="E16" s="363"/>
      <c r="H16" s="1164" t="s">
        <v>1009</v>
      </c>
    </row>
    <row r="17" spans="2:8" ht="24.95" customHeight="1" thickTop="1">
      <c r="B17" s="1694" t="s">
        <v>518</v>
      </c>
      <c r="C17" s="579" t="s">
        <v>72</v>
      </c>
      <c r="D17" s="1457"/>
      <c r="E17" s="445" t="s">
        <v>380</v>
      </c>
      <c r="H17" s="404"/>
    </row>
    <row r="18" spans="2:8" ht="24.95" customHeight="1" thickBot="1">
      <c r="B18" s="1696"/>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36"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3:C3"/>
    <mergeCell ref="D3:E3"/>
    <mergeCell ref="B4:C4"/>
    <mergeCell ref="D4:E4"/>
    <mergeCell ref="B5:C5"/>
    <mergeCell ref="D5:E5"/>
    <mergeCell ref="B7:B8"/>
    <mergeCell ref="B17:B18"/>
    <mergeCell ref="B20:C20"/>
    <mergeCell ref="B15:B16"/>
    <mergeCell ref="B19:C19"/>
    <mergeCell ref="B9:B13"/>
    <mergeCell ref="B14:C14"/>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55">
        <f>C12</f>
        <v>0</v>
      </c>
      <c r="E3" s="1856"/>
      <c r="F3" s="888"/>
      <c r="H3" s="889"/>
      <c r="I3" s="889"/>
      <c r="J3" s="889"/>
      <c r="K3" s="889"/>
      <c r="L3" s="889"/>
      <c r="M3" s="889"/>
      <c r="N3" s="889"/>
      <c r="O3" s="890" t="s">
        <v>131</v>
      </c>
      <c r="P3" s="1758" t="str">
        <f>Data!$A$9</f>
        <v/>
      </c>
      <c r="Q3" s="1758" t="str">
        <f>Data!$A$9</f>
        <v/>
      </c>
      <c r="R3" s="1758" t="str">
        <f>Data!$A$9</f>
        <v/>
      </c>
      <c r="S3" s="889"/>
    </row>
    <row r="4" spans="1:19" ht="18" customHeight="1">
      <c r="H4" s="753"/>
      <c r="O4" s="890" t="s">
        <v>26</v>
      </c>
      <c r="P4" s="1758" t="str">
        <f>Data!$I$69</f>
        <v/>
      </c>
      <c r="Q4" s="1758" t="str">
        <f>Data!$I$69</f>
        <v/>
      </c>
      <c r="R4" s="1758" t="str">
        <f>Data!$I$69</f>
        <v/>
      </c>
    </row>
    <row r="5" spans="1:19" ht="9" customHeight="1">
      <c r="H5" s="753"/>
      <c r="O5" s="890"/>
      <c r="P5" s="891"/>
      <c r="Q5" s="891"/>
      <c r="R5" s="891"/>
    </row>
    <row r="6" spans="1:19" ht="16.5" customHeight="1" thickBot="1">
      <c r="B6" s="892"/>
      <c r="C6" s="892"/>
    </row>
    <row r="7" spans="1:19" s="753" customFormat="1" ht="27" customHeight="1">
      <c r="A7" s="1777" t="s">
        <v>199</v>
      </c>
      <c r="B7" s="1853" t="s">
        <v>759</v>
      </c>
      <c r="C7" s="1793" t="s">
        <v>39</v>
      </c>
      <c r="D7" s="1783" t="s">
        <v>140</v>
      </c>
      <c r="E7" s="1781" t="s">
        <v>159</v>
      </c>
      <c r="F7" s="1851"/>
      <c r="G7" s="1782"/>
      <c r="H7" s="1795" t="s">
        <v>41</v>
      </c>
      <c r="I7" s="1857" t="s">
        <v>104</v>
      </c>
      <c r="J7" s="1858"/>
      <c r="K7" s="1791" t="s">
        <v>93</v>
      </c>
      <c r="L7" s="1791"/>
      <c r="M7" s="1791"/>
      <c r="N7" s="1791"/>
      <c r="O7" s="1792"/>
      <c r="P7" s="1859" t="s">
        <v>378</v>
      </c>
      <c r="Q7" s="1781" t="s">
        <v>22</v>
      </c>
      <c r="R7" s="1787"/>
    </row>
    <row r="8" spans="1:19" s="753" customFormat="1" ht="40.5" customHeight="1" thickBot="1">
      <c r="A8" s="1849"/>
      <c r="B8" s="1854"/>
      <c r="C8" s="1850"/>
      <c r="D8" s="1852"/>
      <c r="E8" s="893" t="s">
        <v>101</v>
      </c>
      <c r="F8" s="894" t="s">
        <v>102</v>
      </c>
      <c r="G8" s="895" t="s">
        <v>103</v>
      </c>
      <c r="H8" s="1852"/>
      <c r="I8" s="896" t="s">
        <v>204</v>
      </c>
      <c r="J8" s="897" t="s">
        <v>151</v>
      </c>
      <c r="K8" s="898" t="s">
        <v>313</v>
      </c>
      <c r="L8" s="899" t="s">
        <v>1079</v>
      </c>
      <c r="M8" s="1279" t="s">
        <v>1080</v>
      </c>
      <c r="N8" s="1280" t="s">
        <v>314</v>
      </c>
      <c r="O8" s="1281" t="s">
        <v>315</v>
      </c>
      <c r="P8" s="1860"/>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48"/>
      <c r="K64" s="1848"/>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D3:E3"/>
    <mergeCell ref="P3:R3"/>
    <mergeCell ref="P4:R4"/>
    <mergeCell ref="Q7:R7"/>
    <mergeCell ref="I7:J7"/>
    <mergeCell ref="P7:P8"/>
    <mergeCell ref="J64:K64"/>
    <mergeCell ref="A7:A8"/>
    <mergeCell ref="C7:C8"/>
    <mergeCell ref="E7:G7"/>
    <mergeCell ref="H7:H8"/>
    <mergeCell ref="K7:O7"/>
    <mergeCell ref="D7:D8"/>
    <mergeCell ref="B7:B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05" t="s">
        <v>823</v>
      </c>
      <c r="C1" s="1505"/>
      <c r="D1" s="1505"/>
      <c r="E1" s="1505"/>
    </row>
    <row r="2" spans="1:18" ht="14.25" customHeight="1" thickBot="1"/>
    <row r="3" spans="1:18" ht="19.899999999999999" customHeight="1">
      <c r="B3" s="1511" t="s">
        <v>443</v>
      </c>
      <c r="C3" s="1512"/>
      <c r="D3" s="1202" t="str">
        <f>Data!A11</f>
        <v>離職者等再就職訓練（６箇月）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03"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08" t="s">
        <v>824</v>
      </c>
      <c r="C14" s="1508"/>
      <c r="D14" s="1508"/>
      <c r="E14" s="635"/>
      <c r="H14" s="1530" t="s">
        <v>419</v>
      </c>
      <c r="I14" s="1531"/>
      <c r="J14" s="1531"/>
      <c r="K14" s="1531"/>
      <c r="L14" s="1531"/>
      <c r="M14" s="1531"/>
      <c r="N14" s="1531"/>
      <c r="O14" s="1531"/>
      <c r="P14" s="1532"/>
    </row>
    <row r="15" spans="1:18" s="3" customFormat="1" ht="31.9" customHeight="1" thickTop="1" thickBot="1">
      <c r="B15" s="1511" t="s">
        <v>664</v>
      </c>
      <c r="C15" s="1533"/>
      <c r="D15" s="1185"/>
      <c r="E15" s="616"/>
      <c r="H15" s="417" t="s">
        <v>690</v>
      </c>
      <c r="I15" s="418"/>
      <c r="J15" s="418"/>
      <c r="K15" s="418"/>
      <c r="L15" s="418"/>
      <c r="M15" s="418"/>
      <c r="N15" s="418"/>
      <c r="O15" s="418"/>
      <c r="P15" s="419"/>
    </row>
    <row r="16" spans="1:18" s="3" customFormat="1" ht="33" customHeight="1" thickTop="1" thickBot="1">
      <c r="B16" s="1506" t="s">
        <v>665</v>
      </c>
      <c r="C16" s="1507"/>
      <c r="D16" s="1185"/>
      <c r="E16" s="616" t="s">
        <v>669</v>
      </c>
      <c r="H16" s="1543" t="s">
        <v>744</v>
      </c>
      <c r="I16" s="1544"/>
      <c r="J16" s="1544"/>
      <c r="K16" s="1544"/>
      <c r="L16" s="1544"/>
      <c r="M16" s="1544"/>
      <c r="N16" s="1544"/>
      <c r="O16" s="1544"/>
      <c r="P16" s="1545"/>
    </row>
    <row r="17" spans="2:16" s="3" customFormat="1" ht="35.450000000000003" customHeight="1" thickTop="1" thickBot="1">
      <c r="B17" s="1509" t="s">
        <v>689</v>
      </c>
      <c r="C17" s="1510"/>
      <c r="D17" s="1185"/>
      <c r="E17" s="616"/>
      <c r="H17" s="1546" t="s">
        <v>745</v>
      </c>
      <c r="I17" s="1547"/>
      <c r="J17" s="1547"/>
      <c r="K17" s="1547"/>
      <c r="L17" s="1547"/>
      <c r="M17" s="1547"/>
      <c r="N17" s="1547"/>
      <c r="O17" s="1547"/>
      <c r="P17" s="1548"/>
    </row>
    <row r="18" spans="2:16" s="3" customFormat="1" ht="31.15" hidden="1" customHeight="1" thickTop="1" thickBot="1">
      <c r="B18" s="1539" t="s">
        <v>727</v>
      </c>
      <c r="C18" s="1540"/>
      <c r="D18" s="1192"/>
      <c r="E18" s="616"/>
      <c r="H18" s="1518" t="s">
        <v>728</v>
      </c>
      <c r="I18" s="1519"/>
      <c r="J18" s="1519"/>
      <c r="K18" s="1519"/>
      <c r="L18" s="1519"/>
      <c r="M18" s="1519"/>
      <c r="N18" s="1519"/>
      <c r="O18" s="1519"/>
      <c r="P18" s="1520"/>
    </row>
    <row r="19" spans="2:16" s="3" customFormat="1" ht="31.15" hidden="1" customHeight="1" thickTop="1" thickBot="1">
      <c r="B19" s="1539"/>
      <c r="C19" s="1540"/>
      <c r="D19" s="1185"/>
      <c r="E19" s="616"/>
      <c r="H19" s="1521"/>
      <c r="I19" s="1522"/>
      <c r="J19" s="1522"/>
      <c r="K19" s="1522"/>
      <c r="L19" s="1522"/>
      <c r="M19" s="1522"/>
      <c r="N19" s="1522"/>
      <c r="O19" s="1522"/>
      <c r="P19" s="1523"/>
    </row>
    <row r="20" spans="2:16" s="3" customFormat="1" ht="31.15" hidden="1" customHeight="1" thickTop="1" thickBot="1">
      <c r="B20" s="1539"/>
      <c r="C20" s="1540"/>
      <c r="D20" s="1185"/>
      <c r="E20" s="616"/>
      <c r="H20" s="1521"/>
      <c r="I20" s="1522"/>
      <c r="J20" s="1522"/>
      <c r="K20" s="1522"/>
      <c r="L20" s="1522"/>
      <c r="M20" s="1522"/>
      <c r="N20" s="1522"/>
      <c r="O20" s="1522"/>
      <c r="P20" s="1523"/>
    </row>
    <row r="21" spans="2:16" s="3" customFormat="1" ht="31.15" hidden="1" customHeight="1" thickTop="1" thickBot="1">
      <c r="B21" s="1539"/>
      <c r="C21" s="1540"/>
      <c r="D21" s="1185"/>
      <c r="E21" s="616"/>
      <c r="H21" s="1521"/>
      <c r="I21" s="1522"/>
      <c r="J21" s="1522"/>
      <c r="K21" s="1522"/>
      <c r="L21" s="1522"/>
      <c r="M21" s="1522"/>
      <c r="N21" s="1522"/>
      <c r="O21" s="1522"/>
      <c r="P21" s="1523"/>
    </row>
    <row r="22" spans="2:16" s="3" customFormat="1" ht="31.15" hidden="1" customHeight="1" thickTop="1" thickBot="1">
      <c r="B22" s="1541"/>
      <c r="C22" s="1542"/>
      <c r="D22" s="1185"/>
      <c r="E22" s="616"/>
      <c r="H22" s="1524"/>
      <c r="I22" s="1525"/>
      <c r="J22" s="1525"/>
      <c r="K22" s="1525"/>
      <c r="L22" s="1525"/>
      <c r="M22" s="1525"/>
      <c r="N22" s="1525"/>
      <c r="O22" s="1525"/>
      <c r="P22" s="1526"/>
    </row>
    <row r="23" spans="2:16" s="3" customFormat="1" ht="12.6" customHeight="1">
      <c r="B23" s="625"/>
      <c r="C23" s="625"/>
      <c r="D23" s="634"/>
      <c r="E23" s="636"/>
      <c r="H23" s="4"/>
      <c r="I23" s="4"/>
      <c r="J23" s="4"/>
      <c r="K23" s="4"/>
      <c r="L23" s="4"/>
      <c r="M23" s="4"/>
      <c r="N23" s="4"/>
      <c r="O23" s="4"/>
      <c r="P23" s="4"/>
    </row>
    <row r="24" spans="2:16" ht="20.45" customHeight="1" thickBot="1">
      <c r="B24" s="1534" t="s">
        <v>666</v>
      </c>
      <c r="C24" s="1534"/>
      <c r="D24" s="617"/>
      <c r="E24" s="617"/>
    </row>
    <row r="25" spans="2:16" ht="20.45" customHeight="1" thickBot="1">
      <c r="B25" s="1535" t="s">
        <v>667</v>
      </c>
      <c r="C25" s="1536"/>
      <c r="D25" s="622" t="s">
        <v>668</v>
      </c>
      <c r="E25" s="670"/>
    </row>
    <row r="26" spans="2:16" ht="34.15" customHeight="1" thickTop="1" thickBot="1">
      <c r="B26" s="1537"/>
      <c r="C26" s="1538"/>
      <c r="D26" s="1186"/>
      <c r="E26" s="671"/>
      <c r="H26" s="1518" t="s">
        <v>729</v>
      </c>
      <c r="I26" s="1519"/>
      <c r="J26" s="1519"/>
      <c r="K26" s="1519"/>
      <c r="L26" s="1519"/>
      <c r="M26" s="1519"/>
      <c r="N26" s="1519"/>
      <c r="O26" s="1519"/>
      <c r="P26" s="1520"/>
    </row>
    <row r="27" spans="2:16" ht="38.450000000000003" customHeight="1" thickTop="1" thickBot="1">
      <c r="B27" s="1537"/>
      <c r="C27" s="1538"/>
      <c r="D27" s="1185"/>
      <c r="E27" s="672"/>
      <c r="H27" s="1521"/>
      <c r="I27" s="1522"/>
      <c r="J27" s="1522"/>
      <c r="K27" s="1522"/>
      <c r="L27" s="1522"/>
      <c r="M27" s="1522"/>
      <c r="N27" s="1522"/>
      <c r="O27" s="1522"/>
      <c r="P27" s="1523"/>
    </row>
    <row r="28" spans="2:16" ht="38.450000000000003" customHeight="1" thickTop="1" thickBot="1">
      <c r="B28" s="1537"/>
      <c r="C28" s="1538"/>
      <c r="D28" s="1185"/>
      <c r="E28" s="672"/>
      <c r="H28" s="1521"/>
      <c r="I28" s="1522"/>
      <c r="J28" s="1522"/>
      <c r="K28" s="1522"/>
      <c r="L28" s="1522"/>
      <c r="M28" s="1522"/>
      <c r="N28" s="1522"/>
      <c r="O28" s="1522"/>
      <c r="P28" s="1523"/>
    </row>
    <row r="29" spans="2:16" ht="38.450000000000003" customHeight="1" thickTop="1" thickBot="1">
      <c r="B29" s="1537"/>
      <c r="C29" s="1538"/>
      <c r="D29" s="1185"/>
      <c r="E29" s="672"/>
      <c r="H29" s="1521"/>
      <c r="I29" s="1522"/>
      <c r="J29" s="1522"/>
      <c r="K29" s="1522"/>
      <c r="L29" s="1522"/>
      <c r="M29" s="1522"/>
      <c r="N29" s="1522"/>
      <c r="O29" s="1522"/>
      <c r="P29" s="1523"/>
    </row>
    <row r="30" spans="2:16" ht="38.450000000000003" customHeight="1" thickTop="1" thickBot="1">
      <c r="B30" s="1537"/>
      <c r="C30" s="1538"/>
      <c r="D30" s="1185"/>
      <c r="E30" s="672"/>
      <c r="H30" s="1521"/>
      <c r="I30" s="1522"/>
      <c r="J30" s="1522"/>
      <c r="K30" s="1522"/>
      <c r="L30" s="1522"/>
      <c r="M30" s="1522"/>
      <c r="N30" s="1522"/>
      <c r="O30" s="1522"/>
      <c r="P30" s="1523"/>
    </row>
    <row r="31" spans="2:16" ht="38.450000000000003" customHeight="1" thickTop="1" thickBot="1">
      <c r="B31" s="1537"/>
      <c r="C31" s="1538"/>
      <c r="D31" s="1185"/>
      <c r="E31" s="673"/>
      <c r="H31" s="1527" t="s">
        <v>730</v>
      </c>
      <c r="I31" s="1528"/>
      <c r="J31" s="1528"/>
      <c r="K31" s="1528"/>
      <c r="L31" s="1528"/>
      <c r="M31" s="1528"/>
      <c r="N31" s="1528"/>
      <c r="O31" s="1528"/>
      <c r="P31" s="1529"/>
    </row>
    <row r="32" spans="2:16" ht="14.25" thickTop="1"/>
  </sheetData>
  <sheetProtection formatCells="0" formatColumns="0" formatRows="0"/>
  <mergeCells count="26">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 ref="B1:E1"/>
    <mergeCell ref="B16:C16"/>
    <mergeCell ref="B14:D14"/>
    <mergeCell ref="B17:C17"/>
    <mergeCell ref="B3:C3"/>
    <mergeCell ref="B4:B6"/>
    <mergeCell ref="B7:C7"/>
    <mergeCell ref="B8:B10"/>
    <mergeCell ref="B11:C11"/>
    <mergeCell ref="B12:C12"/>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58" t="str">
        <f>Data!$A$9</f>
        <v/>
      </c>
      <c r="L3" s="1758" t="str">
        <f>Data!$A$9</f>
        <v/>
      </c>
      <c r="M3" s="1758" t="str">
        <f>Data!$A$9</f>
        <v/>
      </c>
    </row>
    <row r="4" spans="1:13" ht="18.75">
      <c r="A4" s="17"/>
      <c r="C4" s="17"/>
      <c r="D4" s="17"/>
      <c r="E4" s="17"/>
      <c r="F4" s="17"/>
      <c r="G4" s="17"/>
      <c r="H4" s="17"/>
      <c r="I4" s="17"/>
      <c r="J4" s="144" t="s">
        <v>26</v>
      </c>
      <c r="K4" s="1758" t="str">
        <f>Data!$I$69</f>
        <v/>
      </c>
      <c r="L4" s="1758" t="str">
        <f>Data!$I$69</f>
        <v/>
      </c>
      <c r="M4" s="1758"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topLeftCell="A28" zoomScale="90" zoomScaleNormal="85" zoomScaleSheetLayoutView="90" workbookViewId="0">
      <selection activeCell="AG46" sqref="AG46"/>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7</v>
      </c>
      <c r="N1" s="68"/>
      <c r="O1" s="69" t="s">
        <v>29</v>
      </c>
      <c r="P1" s="69"/>
      <c r="Q1" s="69"/>
      <c r="R1" s="68"/>
      <c r="S1" s="68"/>
      <c r="T1" s="68"/>
      <c r="U1" s="69"/>
      <c r="V1" s="69"/>
      <c r="W1" s="69"/>
      <c r="X1" s="68"/>
      <c r="Y1" s="68"/>
      <c r="Z1" s="68"/>
      <c r="AA1" s="69"/>
      <c r="AB1" s="69"/>
      <c r="AC1" s="69"/>
      <c r="AD1" s="68"/>
      <c r="AE1" s="70">
        <f>MONTH($AO$3)</f>
        <v>7</v>
      </c>
      <c r="AF1" s="68"/>
      <c r="AG1" s="69" t="s">
        <v>29</v>
      </c>
      <c r="AH1" s="69"/>
      <c r="AI1" s="69"/>
      <c r="AJ1" s="68"/>
    </row>
    <row r="2" spans="1:47" ht="15" customHeight="1" thickBot="1">
      <c r="A2" s="72"/>
      <c r="B2" s="455" t="s">
        <v>463</v>
      </c>
      <c r="C2" s="1291">
        <v>45474</v>
      </c>
      <c r="D2" s="575" t="s">
        <v>515</v>
      </c>
      <c r="E2" s="73"/>
      <c r="F2" s="72"/>
      <c r="G2" s="72"/>
      <c r="H2" s="459"/>
      <c r="I2" s="73"/>
      <c r="J2" s="1915" t="s">
        <v>450</v>
      </c>
      <c r="K2" s="1915"/>
      <c r="L2" s="1915"/>
      <c r="M2" s="1915"/>
      <c r="N2" s="1915"/>
      <c r="O2" s="1913" t="str">
        <f>Data!$A$11</f>
        <v>離職者等再就職訓練（６箇月）</v>
      </c>
      <c r="P2" s="1913"/>
      <c r="Q2" s="1913"/>
      <c r="R2" s="1913"/>
      <c r="S2" s="72"/>
      <c r="T2" s="72"/>
      <c r="U2" s="73"/>
      <c r="V2" s="73"/>
      <c r="W2" s="73"/>
      <c r="X2" s="72"/>
      <c r="Y2" s="72"/>
      <c r="Z2" s="72"/>
      <c r="AA2" s="73"/>
      <c r="AB2" s="1915" t="s">
        <v>450</v>
      </c>
      <c r="AC2" s="1915"/>
      <c r="AD2" s="1915"/>
      <c r="AE2" s="1915"/>
      <c r="AF2" s="1915"/>
      <c r="AG2" s="1913" t="str">
        <f>Data!$A$11</f>
        <v>離職者等再就職訓練（６箇月）</v>
      </c>
      <c r="AH2" s="1913"/>
      <c r="AI2" s="1913"/>
      <c r="AJ2" s="1913"/>
      <c r="AK2" s="452"/>
      <c r="AL2" s="452"/>
      <c r="AQ2" s="228" t="s">
        <v>465</v>
      </c>
      <c r="AR2" s="461">
        <f>VLOOKUP(O2,祝日!K3:S25,2,FALSE)</f>
        <v>6</v>
      </c>
      <c r="AS2" s="449" t="s">
        <v>466</v>
      </c>
    </row>
    <row r="3" spans="1:47" ht="15" customHeight="1" thickBot="1">
      <c r="A3" s="74"/>
      <c r="B3" s="455" t="s">
        <v>464</v>
      </c>
      <c r="C3" s="1291">
        <v>45653</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45474</v>
      </c>
      <c r="AQ3" s="228" t="s">
        <v>283</v>
      </c>
      <c r="AR3" s="804">
        <f>VLOOKUP($O$2,祝日!$K$3:$S$25,3,FALSE)</f>
        <v>600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45653</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①</v>
      </c>
      <c r="U7" s="852" t="str">
        <f>CONCATENATE(TEXT(AR9,"ggge年m月d日"),"から",TEXT(AT9,"ggge年m月d日"),"までの期間で、")</f>
        <v>令和6年11月1日から令和6年12月15日までの期間で、</v>
      </c>
      <c r="V7" s="831"/>
      <c r="W7" s="831"/>
      <c r="X7" s="831"/>
      <c r="Y7" s="844"/>
      <c r="Z7" s="845"/>
      <c r="AA7" s="846"/>
      <c r="AB7" s="750"/>
      <c r="AC7" s="750"/>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600時間以上</v>
      </c>
      <c r="P9" s="1960"/>
      <c r="Q9" s="1960"/>
      <c r="R9" s="1961"/>
      <c r="S9" s="74"/>
      <c r="T9" s="859" t="str">
        <f>IF(AR2=6,"②","")</f>
        <v>②</v>
      </c>
      <c r="U9" s="857" t="str">
        <f>IF(AR2=6,CONCATENATE(TEXT(AR10,"ggge年m月d日"),"から",TEXT(AT10,"ggge年m月d日"),"までの期間で、"),"")</f>
        <v>令和6年10月1日から令和6年11月15日までの期間で、</v>
      </c>
      <c r="V9" s="855"/>
      <c r="W9" s="855"/>
      <c r="X9" s="855"/>
      <c r="Y9" s="855"/>
      <c r="Z9" s="855"/>
      <c r="AA9" s="856"/>
      <c r="AB9" s="750"/>
      <c r="AC9" s="750"/>
      <c r="AD9" s="750"/>
      <c r="AE9" s="750"/>
      <c r="AF9" s="750"/>
      <c r="AG9" s="77"/>
      <c r="AH9" s="77"/>
      <c r="AI9" s="77"/>
      <c r="AJ9" s="454"/>
      <c r="AN9" s="228"/>
      <c r="AQ9" s="228" t="s">
        <v>734</v>
      </c>
      <c r="AR9" s="830">
        <f>IF(MONTH($AO$3)=MONTH($AO$4),$AO$3+1,DATE(YEAR($AO$4),MONTH($AO$4)-1,DAY(1)))</f>
        <v>45597</v>
      </c>
      <c r="AS9" s="752" t="s">
        <v>736</v>
      </c>
      <c r="AT9" s="830">
        <f>IF(MONTH($AO$3)=MONTH($AO$4),$AO$4-1,DATE(YEAR($AO$4),MONTH($AO$4),DAY(15)))</f>
        <v>45641</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1日以上設定すること。</v>
      </c>
      <c r="V10" s="80"/>
      <c r="W10" s="80"/>
      <c r="X10" s="76"/>
      <c r="Y10" s="74"/>
      <c r="Z10" s="76"/>
      <c r="AA10" s="847"/>
      <c r="AB10" s="750"/>
      <c r="AC10" s="750"/>
      <c r="AD10" s="76"/>
      <c r="AE10" s="74"/>
      <c r="AF10" s="750"/>
      <c r="AG10" s="228"/>
      <c r="AH10" s="228"/>
      <c r="AI10" s="228"/>
      <c r="AK10" s="227"/>
      <c r="AN10" s="228"/>
      <c r="AQ10" s="228" t="s">
        <v>735</v>
      </c>
      <c r="AR10" s="830">
        <f>DATE(YEAR($AO$4),MONTH($AO$4)-2,DAY(1))</f>
        <v>45566</v>
      </c>
      <c r="AS10" s="752" t="s">
        <v>736</v>
      </c>
      <c r="AT10" s="830">
        <f>DATE(YEAR($AO$4),MONTH($AO$4)-1,DAY(15))</f>
        <v>45611</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24時間以上</v>
      </c>
      <c r="P11" s="1917"/>
      <c r="Q11" s="1917"/>
      <c r="R11" s="1918"/>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1968"/>
      <c r="B12" s="1969"/>
      <c r="C12" s="1969"/>
      <c r="D12" s="1969"/>
      <c r="E12" s="1969"/>
      <c r="F12" s="1969"/>
      <c r="G12" s="1970"/>
      <c r="H12" s="468"/>
      <c r="I12" s="1296"/>
      <c r="J12" s="1919"/>
      <c r="K12" s="1919"/>
      <c r="L12" s="1919"/>
      <c r="M12" s="1919"/>
      <c r="N12" s="1919"/>
      <c r="O12" s="1916"/>
      <c r="P12" s="1917"/>
      <c r="Q12" s="1917"/>
      <c r="R12" s="1918"/>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872">
        <f>MONTH(A17)</f>
        <v>7</v>
      </c>
      <c r="B16" s="1873"/>
      <c r="C16" s="1874"/>
      <c r="D16" s="756" t="s">
        <v>445</v>
      </c>
      <c r="E16" s="757" t="s">
        <v>447</v>
      </c>
      <c r="F16" s="758" t="s">
        <v>449</v>
      </c>
      <c r="G16" s="1872">
        <f>MONTH(G17)</f>
        <v>8</v>
      </c>
      <c r="H16" s="1873"/>
      <c r="I16" s="1874"/>
      <c r="J16" s="756" t="s">
        <v>444</v>
      </c>
      <c r="K16" s="756" t="s">
        <v>446</v>
      </c>
      <c r="L16" s="759" t="s">
        <v>448</v>
      </c>
      <c r="M16" s="1872">
        <f>MONTH(M17)</f>
        <v>9</v>
      </c>
      <c r="N16" s="1873"/>
      <c r="O16" s="1874"/>
      <c r="P16" s="756" t="s">
        <v>444</v>
      </c>
      <c r="Q16" s="756" t="s">
        <v>446</v>
      </c>
      <c r="R16" s="758" t="s">
        <v>448</v>
      </c>
      <c r="S16" s="1872">
        <f>MONTH(S17)</f>
        <v>10</v>
      </c>
      <c r="T16" s="1873"/>
      <c r="U16" s="1874"/>
      <c r="V16" s="756" t="s">
        <v>445</v>
      </c>
      <c r="W16" s="757" t="s">
        <v>447</v>
      </c>
      <c r="X16" s="758" t="s">
        <v>449</v>
      </c>
      <c r="Y16" s="1872">
        <f>MONTH(Y17)</f>
        <v>11</v>
      </c>
      <c r="Z16" s="1873"/>
      <c r="AA16" s="1874"/>
      <c r="AB16" s="756" t="s">
        <v>444</v>
      </c>
      <c r="AC16" s="756" t="s">
        <v>446</v>
      </c>
      <c r="AD16" s="759" t="s">
        <v>448</v>
      </c>
      <c r="AE16" s="1872">
        <f>MONTH(AE17)</f>
        <v>12</v>
      </c>
      <c r="AF16" s="1873"/>
      <c r="AG16" s="1874"/>
      <c r="AH16" s="756" t="s">
        <v>444</v>
      </c>
      <c r="AI16" s="756" t="s">
        <v>446</v>
      </c>
      <c r="AJ16" s="758" t="s">
        <v>448</v>
      </c>
      <c r="AL16" s="456" t="s">
        <v>459</v>
      </c>
      <c r="AM16" s="464" t="s">
        <v>468</v>
      </c>
      <c r="AO16" s="806"/>
      <c r="AP16" s="807"/>
    </row>
    <row r="17" spans="1:42" s="462" customFormat="1" ht="27" customHeight="1" thickTop="1" thickBot="1">
      <c r="A17" s="760">
        <f>AO3</f>
        <v>45474</v>
      </c>
      <c r="B17" s="764">
        <f t="shared" ref="B17:B47" si="0">WEEKDAY(A17)</f>
        <v>2</v>
      </c>
      <c r="C17" s="775" t="s">
        <v>688</v>
      </c>
      <c r="D17" s="782"/>
      <c r="E17" s="782"/>
      <c r="F17" s="783"/>
      <c r="G17" s="767">
        <f>DATE(YEAR($A$17),MONTH($A$17)+1,DAY($A$17))</f>
        <v>45505</v>
      </c>
      <c r="H17" s="764">
        <f t="shared" ref="H17:H47" si="1">WEEKDAY(G17)</f>
        <v>5</v>
      </c>
      <c r="I17" s="775"/>
      <c r="J17" s="776"/>
      <c r="K17" s="776"/>
      <c r="L17" s="777"/>
      <c r="M17" s="774">
        <f>DATE(YEAR($A$17),MONTH($A$17)+2,DAY($A$17))</f>
        <v>45536</v>
      </c>
      <c r="N17" s="780">
        <f t="shared" ref="N17:N42" si="2">WEEKDAY(M17)</f>
        <v>1</v>
      </c>
      <c r="O17" s="781"/>
      <c r="P17" s="782"/>
      <c r="Q17" s="782"/>
      <c r="R17" s="783"/>
      <c r="S17" s="1073">
        <f>DATE(YEAR($A$17),MONTH($A$17)+3,DAY($A$17))</f>
        <v>45566</v>
      </c>
      <c r="T17" s="1074">
        <f t="shared" ref="T17:T47" si="3">WEEKDAY(S17)</f>
        <v>3</v>
      </c>
      <c r="U17" s="775"/>
      <c r="V17" s="782"/>
      <c r="W17" s="782"/>
      <c r="X17" s="783"/>
      <c r="Y17" s="767">
        <f>DATE(YEAR($A$17),MONTH($A$17)+4,DAY($A$17))</f>
        <v>45597</v>
      </c>
      <c r="Z17" s="764">
        <f t="shared" ref="Z17:Z47" si="4">WEEKDAY(Y17)</f>
        <v>6</v>
      </c>
      <c r="AA17" s="775"/>
      <c r="AB17" s="776"/>
      <c r="AC17" s="776"/>
      <c r="AD17" s="777"/>
      <c r="AE17" s="774">
        <f>DATE(YEAR($A$17),MONTH($A$17)+5,DAY($A$17))</f>
        <v>45627</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45475</v>
      </c>
      <c r="B18" s="765">
        <f t="shared" si="0"/>
        <v>3</v>
      </c>
      <c r="C18" s="768"/>
      <c r="D18" s="704"/>
      <c r="E18" s="704"/>
      <c r="F18" s="708"/>
      <c r="G18" s="696">
        <f>G17+1</f>
        <v>45506</v>
      </c>
      <c r="H18" s="766">
        <f t="shared" si="1"/>
        <v>6</v>
      </c>
      <c r="I18" s="770"/>
      <c r="J18" s="705"/>
      <c r="K18" s="705"/>
      <c r="L18" s="708"/>
      <c r="M18" s="700">
        <f t="shared" ref="M18:M47" si="6">M17+1</f>
        <v>45537</v>
      </c>
      <c r="N18" s="766">
        <f t="shared" si="2"/>
        <v>2</v>
      </c>
      <c r="O18" s="770"/>
      <c r="P18" s="705"/>
      <c r="Q18" s="705"/>
      <c r="R18" s="708"/>
      <c r="S18" s="1075">
        <f>S17+1</f>
        <v>45567</v>
      </c>
      <c r="T18" s="1076">
        <f t="shared" si="3"/>
        <v>4</v>
      </c>
      <c r="U18" s="768"/>
      <c r="V18" s="704"/>
      <c r="W18" s="704"/>
      <c r="X18" s="708"/>
      <c r="Y18" s="696">
        <f t="shared" ref="Y18:Y47" si="7">Y17+1</f>
        <v>45598</v>
      </c>
      <c r="Z18" s="766">
        <f t="shared" si="4"/>
        <v>7</v>
      </c>
      <c r="AA18" s="770"/>
      <c r="AB18" s="705"/>
      <c r="AC18" s="705"/>
      <c r="AD18" s="708"/>
      <c r="AE18" s="700">
        <f t="shared" ref="AE18:AE47" si="8">AE17+1</f>
        <v>45628</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45476</v>
      </c>
      <c r="B19" s="765">
        <f t="shared" si="0"/>
        <v>4</v>
      </c>
      <c r="C19" s="769"/>
      <c r="D19" s="705"/>
      <c r="E19" s="705"/>
      <c r="F19" s="708"/>
      <c r="G19" s="696">
        <f t="shared" ref="G19:G47" si="10">G18+1</f>
        <v>45507</v>
      </c>
      <c r="H19" s="766">
        <f t="shared" si="1"/>
        <v>7</v>
      </c>
      <c r="I19" s="770"/>
      <c r="J19" s="705"/>
      <c r="K19" s="705"/>
      <c r="L19" s="708"/>
      <c r="M19" s="700">
        <f t="shared" si="6"/>
        <v>45538</v>
      </c>
      <c r="N19" s="766">
        <f t="shared" si="2"/>
        <v>3</v>
      </c>
      <c r="O19" s="770"/>
      <c r="P19" s="705"/>
      <c r="Q19" s="705"/>
      <c r="R19" s="708"/>
      <c r="S19" s="1075">
        <f t="shared" ref="S19:S47" si="11">S18+1</f>
        <v>45568</v>
      </c>
      <c r="T19" s="1076">
        <f t="shared" si="3"/>
        <v>5</v>
      </c>
      <c r="U19" s="769"/>
      <c r="V19" s="705"/>
      <c r="W19" s="705"/>
      <c r="X19" s="708"/>
      <c r="Y19" s="696">
        <f t="shared" si="7"/>
        <v>45599</v>
      </c>
      <c r="Z19" s="766">
        <f t="shared" si="4"/>
        <v>1</v>
      </c>
      <c r="AA19" s="770"/>
      <c r="AB19" s="705"/>
      <c r="AC19" s="705"/>
      <c r="AD19" s="708"/>
      <c r="AE19" s="700">
        <f t="shared" si="8"/>
        <v>45629</v>
      </c>
      <c r="AF19" s="766">
        <f t="shared" si="5"/>
        <v>3</v>
      </c>
      <c r="AG19" s="770"/>
      <c r="AH19" s="705"/>
      <c r="AI19" s="705"/>
      <c r="AJ19" s="708"/>
      <c r="AL19" s="695" t="str">
        <f>IF(OR($O$55&lt;$AR$4,$O$49&lt;$AR$7)=TRUE,"月3不","")</f>
        <v>月3不</v>
      </c>
      <c r="AO19" s="808"/>
      <c r="AP19" s="809"/>
    </row>
    <row r="20" spans="1:42" s="462" customFormat="1" ht="27" customHeight="1" thickBot="1">
      <c r="A20" s="761">
        <f t="shared" si="9"/>
        <v>45477</v>
      </c>
      <c r="B20" s="765">
        <f t="shared" si="0"/>
        <v>5</v>
      </c>
      <c r="C20" s="769"/>
      <c r="D20" s="705"/>
      <c r="E20" s="705"/>
      <c r="F20" s="708"/>
      <c r="G20" s="696">
        <f t="shared" si="10"/>
        <v>45508</v>
      </c>
      <c r="H20" s="766">
        <f t="shared" si="1"/>
        <v>1</v>
      </c>
      <c r="I20" s="770"/>
      <c r="J20" s="705"/>
      <c r="K20" s="705"/>
      <c r="L20" s="708"/>
      <c r="M20" s="700">
        <f t="shared" si="6"/>
        <v>45539</v>
      </c>
      <c r="N20" s="766">
        <f t="shared" si="2"/>
        <v>4</v>
      </c>
      <c r="O20" s="770"/>
      <c r="P20" s="705"/>
      <c r="Q20" s="705"/>
      <c r="R20" s="708"/>
      <c r="S20" s="1075">
        <f t="shared" si="11"/>
        <v>45569</v>
      </c>
      <c r="T20" s="1076">
        <f t="shared" si="3"/>
        <v>6</v>
      </c>
      <c r="U20" s="769"/>
      <c r="V20" s="705"/>
      <c r="W20" s="705"/>
      <c r="X20" s="708"/>
      <c r="Y20" s="696">
        <f t="shared" si="7"/>
        <v>45600</v>
      </c>
      <c r="Z20" s="766">
        <f t="shared" si="4"/>
        <v>2</v>
      </c>
      <c r="AA20" s="770"/>
      <c r="AB20" s="705"/>
      <c r="AC20" s="705"/>
      <c r="AD20" s="708"/>
      <c r="AE20" s="700">
        <f t="shared" si="8"/>
        <v>45630</v>
      </c>
      <c r="AF20" s="766">
        <f t="shared" si="5"/>
        <v>4</v>
      </c>
      <c r="AG20" s="770"/>
      <c r="AH20" s="705"/>
      <c r="AI20" s="705"/>
      <c r="AJ20" s="708"/>
      <c r="AL20" s="695" t="str">
        <f>IF(AND(DATE(YEAR($A$17),MONTH($A$17)+3,DAY($A$17))&lt;$C$3,OR($U$55&lt;$AR$4,$U$49&lt;$AR$7)=TRUE),"月4不","")</f>
        <v>月4不</v>
      </c>
      <c r="AO20" s="808"/>
      <c r="AP20" s="809"/>
    </row>
    <row r="21" spans="1:42" s="462" customFormat="1" ht="27" customHeight="1" thickBot="1">
      <c r="A21" s="761">
        <f t="shared" si="9"/>
        <v>45478</v>
      </c>
      <c r="B21" s="765">
        <f t="shared" si="0"/>
        <v>6</v>
      </c>
      <c r="C21" s="769"/>
      <c r="D21" s="705"/>
      <c r="E21" s="705"/>
      <c r="F21" s="708"/>
      <c r="G21" s="696">
        <f t="shared" si="10"/>
        <v>45509</v>
      </c>
      <c r="H21" s="766">
        <f t="shared" si="1"/>
        <v>2</v>
      </c>
      <c r="I21" s="770"/>
      <c r="J21" s="705"/>
      <c r="K21" s="705"/>
      <c r="L21" s="708"/>
      <c r="M21" s="700">
        <f t="shared" si="6"/>
        <v>45540</v>
      </c>
      <c r="N21" s="766">
        <f t="shared" si="2"/>
        <v>5</v>
      </c>
      <c r="O21" s="770"/>
      <c r="P21" s="705"/>
      <c r="Q21" s="705"/>
      <c r="R21" s="708"/>
      <c r="S21" s="1075">
        <f t="shared" si="11"/>
        <v>45570</v>
      </c>
      <c r="T21" s="1076">
        <f t="shared" si="3"/>
        <v>7</v>
      </c>
      <c r="U21" s="769"/>
      <c r="V21" s="705"/>
      <c r="W21" s="705"/>
      <c r="X21" s="708"/>
      <c r="Y21" s="696">
        <f t="shared" si="7"/>
        <v>45601</v>
      </c>
      <c r="Z21" s="766">
        <f t="shared" si="4"/>
        <v>3</v>
      </c>
      <c r="AA21" s="770"/>
      <c r="AB21" s="705"/>
      <c r="AC21" s="705"/>
      <c r="AD21" s="708"/>
      <c r="AE21" s="700">
        <f t="shared" si="8"/>
        <v>45631</v>
      </c>
      <c r="AF21" s="766">
        <f t="shared" si="5"/>
        <v>5</v>
      </c>
      <c r="AG21" s="770"/>
      <c r="AH21" s="705"/>
      <c r="AI21" s="705"/>
      <c r="AJ21" s="708"/>
      <c r="AL21" s="695" t="str">
        <f>IF(AND(DATE(YEAR($A$17),MONTH($A$17)+4,DAY($A$17))&lt;$C$3,OR($AA$55&lt;$AR$4,$AA$49&lt;$AR$7)=TRUE),"月5不","")</f>
        <v>月5不</v>
      </c>
      <c r="AO21" s="808"/>
      <c r="AP21" s="809"/>
    </row>
    <row r="22" spans="1:42" s="462" customFormat="1" ht="27" customHeight="1" thickBot="1">
      <c r="A22" s="761">
        <f t="shared" si="9"/>
        <v>45479</v>
      </c>
      <c r="B22" s="765">
        <f t="shared" si="0"/>
        <v>7</v>
      </c>
      <c r="C22" s="769"/>
      <c r="D22" s="705"/>
      <c r="E22" s="705"/>
      <c r="F22" s="708"/>
      <c r="G22" s="696">
        <f t="shared" si="10"/>
        <v>45510</v>
      </c>
      <c r="H22" s="766">
        <f t="shared" si="1"/>
        <v>3</v>
      </c>
      <c r="I22" s="770"/>
      <c r="J22" s="705"/>
      <c r="K22" s="705"/>
      <c r="L22" s="708"/>
      <c r="M22" s="700">
        <f t="shared" si="6"/>
        <v>45541</v>
      </c>
      <c r="N22" s="766">
        <f t="shared" si="2"/>
        <v>6</v>
      </c>
      <c r="O22" s="770"/>
      <c r="P22" s="705"/>
      <c r="Q22" s="705"/>
      <c r="R22" s="708"/>
      <c r="S22" s="1075">
        <f t="shared" si="11"/>
        <v>45571</v>
      </c>
      <c r="T22" s="1076">
        <f t="shared" si="3"/>
        <v>1</v>
      </c>
      <c r="U22" s="769"/>
      <c r="V22" s="705"/>
      <c r="W22" s="705"/>
      <c r="X22" s="708"/>
      <c r="Y22" s="696">
        <f t="shared" si="7"/>
        <v>45602</v>
      </c>
      <c r="Z22" s="766">
        <f t="shared" si="4"/>
        <v>4</v>
      </c>
      <c r="AA22" s="770"/>
      <c r="AB22" s="705"/>
      <c r="AC22" s="705"/>
      <c r="AD22" s="708"/>
      <c r="AE22" s="700">
        <f t="shared" si="8"/>
        <v>45632</v>
      </c>
      <c r="AF22" s="766">
        <f t="shared" si="5"/>
        <v>6</v>
      </c>
      <c r="AG22" s="770"/>
      <c r="AH22" s="705"/>
      <c r="AI22" s="705"/>
      <c r="AJ22" s="708"/>
      <c r="AL22" s="698" t="str">
        <f>IF(AND(DATE(YEAR($A$17),MONTH($A$17)+5,DAY($A$17))&lt;$C$3,OR($AG$55&lt;$AR$4,$AG$49&lt;$AR$7)=TRUE),"月6不","")</f>
        <v>月6不</v>
      </c>
      <c r="AO22" s="808"/>
      <c r="AP22" s="809"/>
    </row>
    <row r="23" spans="1:42" s="462" customFormat="1" ht="27" customHeight="1" thickBot="1">
      <c r="A23" s="761">
        <f t="shared" si="9"/>
        <v>45480</v>
      </c>
      <c r="B23" s="765">
        <f t="shared" si="0"/>
        <v>1</v>
      </c>
      <c r="C23" s="770"/>
      <c r="D23" s="705"/>
      <c r="E23" s="705"/>
      <c r="F23" s="708"/>
      <c r="G23" s="696">
        <f t="shared" si="10"/>
        <v>45511</v>
      </c>
      <c r="H23" s="766">
        <f t="shared" si="1"/>
        <v>4</v>
      </c>
      <c r="I23" s="770"/>
      <c r="J23" s="705"/>
      <c r="K23" s="705"/>
      <c r="L23" s="708"/>
      <c r="M23" s="700">
        <f t="shared" si="6"/>
        <v>45542</v>
      </c>
      <c r="N23" s="766">
        <f t="shared" si="2"/>
        <v>7</v>
      </c>
      <c r="O23" s="770"/>
      <c r="P23" s="705"/>
      <c r="Q23" s="705"/>
      <c r="R23" s="708"/>
      <c r="S23" s="1075">
        <f t="shared" si="11"/>
        <v>45572</v>
      </c>
      <c r="T23" s="1076">
        <f t="shared" si="3"/>
        <v>2</v>
      </c>
      <c r="U23" s="769"/>
      <c r="V23" s="705"/>
      <c r="W23" s="705"/>
      <c r="X23" s="708"/>
      <c r="Y23" s="696">
        <f t="shared" si="7"/>
        <v>45603</v>
      </c>
      <c r="Z23" s="766">
        <f t="shared" si="4"/>
        <v>5</v>
      </c>
      <c r="AA23" s="770"/>
      <c r="AB23" s="705"/>
      <c r="AC23" s="705"/>
      <c r="AD23" s="708"/>
      <c r="AE23" s="700">
        <f t="shared" si="8"/>
        <v>45633</v>
      </c>
      <c r="AF23" s="766">
        <f t="shared" si="5"/>
        <v>7</v>
      </c>
      <c r="AG23" s="770"/>
      <c r="AH23" s="705"/>
      <c r="AI23" s="705"/>
      <c r="AJ23" s="708"/>
      <c r="AL23" s="695" t="str">
        <f>IF($C$55&gt;$AT$4,"月1超","")</f>
        <v/>
      </c>
      <c r="AO23" s="808"/>
      <c r="AP23" s="809"/>
    </row>
    <row r="24" spans="1:42" s="462" customFormat="1" ht="27" customHeight="1" thickBot="1">
      <c r="A24" s="761">
        <f t="shared" si="9"/>
        <v>45481</v>
      </c>
      <c r="B24" s="765">
        <f t="shared" si="0"/>
        <v>2</v>
      </c>
      <c r="C24" s="769"/>
      <c r="D24" s="705"/>
      <c r="E24" s="705"/>
      <c r="F24" s="708"/>
      <c r="G24" s="700">
        <f t="shared" si="10"/>
        <v>45512</v>
      </c>
      <c r="H24" s="765">
        <f t="shared" si="1"/>
        <v>5</v>
      </c>
      <c r="I24" s="769"/>
      <c r="J24" s="705"/>
      <c r="K24" s="705"/>
      <c r="L24" s="708"/>
      <c r="M24" s="700">
        <f t="shared" si="6"/>
        <v>45543</v>
      </c>
      <c r="N24" s="766">
        <f t="shared" si="2"/>
        <v>1</v>
      </c>
      <c r="O24" s="770"/>
      <c r="P24" s="705"/>
      <c r="Q24" s="705"/>
      <c r="R24" s="708"/>
      <c r="S24" s="1075">
        <f t="shared" si="11"/>
        <v>45573</v>
      </c>
      <c r="T24" s="1076">
        <f t="shared" si="3"/>
        <v>3</v>
      </c>
      <c r="U24" s="770"/>
      <c r="V24" s="705"/>
      <c r="W24" s="705"/>
      <c r="X24" s="708"/>
      <c r="Y24" s="700">
        <f t="shared" si="7"/>
        <v>45604</v>
      </c>
      <c r="Z24" s="765">
        <f t="shared" si="4"/>
        <v>6</v>
      </c>
      <c r="AA24" s="769"/>
      <c r="AB24" s="705"/>
      <c r="AC24" s="705"/>
      <c r="AD24" s="708"/>
      <c r="AE24" s="700">
        <f t="shared" si="8"/>
        <v>45634</v>
      </c>
      <c r="AF24" s="766">
        <f t="shared" si="5"/>
        <v>1</v>
      </c>
      <c r="AG24" s="770"/>
      <c r="AH24" s="705"/>
      <c r="AI24" s="705"/>
      <c r="AJ24" s="708"/>
      <c r="AL24" s="695" t="str">
        <f>IF($I$55&gt;$AT$4,"月2超","")</f>
        <v/>
      </c>
      <c r="AO24" s="808"/>
      <c r="AP24" s="809"/>
    </row>
    <row r="25" spans="1:42" s="462" customFormat="1" ht="27" customHeight="1" thickBot="1">
      <c r="A25" s="761">
        <f t="shared" si="9"/>
        <v>45482</v>
      </c>
      <c r="B25" s="765">
        <f t="shared" si="0"/>
        <v>3</v>
      </c>
      <c r="C25" s="769"/>
      <c r="D25" s="705"/>
      <c r="E25" s="705"/>
      <c r="F25" s="708"/>
      <c r="G25" s="696">
        <f t="shared" si="10"/>
        <v>45513</v>
      </c>
      <c r="H25" s="766">
        <f t="shared" si="1"/>
        <v>6</v>
      </c>
      <c r="I25" s="768"/>
      <c r="J25" s="704"/>
      <c r="K25" s="704"/>
      <c r="L25" s="709"/>
      <c r="M25" s="700">
        <f t="shared" si="6"/>
        <v>45544</v>
      </c>
      <c r="N25" s="765">
        <f t="shared" si="2"/>
        <v>2</v>
      </c>
      <c r="O25" s="770"/>
      <c r="P25" s="705"/>
      <c r="Q25" s="705"/>
      <c r="R25" s="708"/>
      <c r="S25" s="1075">
        <f t="shared" si="11"/>
        <v>45574</v>
      </c>
      <c r="T25" s="1076">
        <f t="shared" si="3"/>
        <v>4</v>
      </c>
      <c r="U25" s="769"/>
      <c r="V25" s="705"/>
      <c r="W25" s="705"/>
      <c r="X25" s="708"/>
      <c r="Y25" s="696">
        <f t="shared" si="7"/>
        <v>45605</v>
      </c>
      <c r="Z25" s="766">
        <f t="shared" si="4"/>
        <v>7</v>
      </c>
      <c r="AA25" s="768"/>
      <c r="AB25" s="704"/>
      <c r="AC25" s="704"/>
      <c r="AD25" s="709"/>
      <c r="AE25" s="700">
        <f t="shared" si="8"/>
        <v>45635</v>
      </c>
      <c r="AF25" s="765">
        <f t="shared" si="5"/>
        <v>2</v>
      </c>
      <c r="AG25" s="770"/>
      <c r="AH25" s="705"/>
      <c r="AI25" s="705"/>
      <c r="AJ25" s="708"/>
      <c r="AL25" s="695" t="str">
        <f>IF($O$55&gt;$AT$4,"月3超","")</f>
        <v/>
      </c>
      <c r="AO25" s="808"/>
      <c r="AP25" s="809"/>
    </row>
    <row r="26" spans="1:42" s="462" customFormat="1" ht="27" customHeight="1" thickBot="1">
      <c r="A26" s="761">
        <f t="shared" si="9"/>
        <v>45483</v>
      </c>
      <c r="B26" s="765">
        <f t="shared" si="0"/>
        <v>4</v>
      </c>
      <c r="C26" s="769"/>
      <c r="D26" s="705"/>
      <c r="E26" s="705"/>
      <c r="F26" s="708"/>
      <c r="G26" s="696">
        <f t="shared" si="10"/>
        <v>45514</v>
      </c>
      <c r="H26" s="766">
        <f t="shared" si="1"/>
        <v>7</v>
      </c>
      <c r="I26" s="770"/>
      <c r="J26" s="705"/>
      <c r="K26" s="705"/>
      <c r="L26" s="708"/>
      <c r="M26" s="696">
        <f t="shared" si="6"/>
        <v>45545</v>
      </c>
      <c r="N26" s="766">
        <f t="shared" si="2"/>
        <v>3</v>
      </c>
      <c r="O26" s="768"/>
      <c r="P26" s="704"/>
      <c r="Q26" s="704"/>
      <c r="R26" s="709"/>
      <c r="S26" s="1075">
        <f t="shared" si="11"/>
        <v>45575</v>
      </c>
      <c r="T26" s="1076">
        <f t="shared" si="3"/>
        <v>5</v>
      </c>
      <c r="U26" s="769"/>
      <c r="V26" s="705"/>
      <c r="W26" s="705"/>
      <c r="X26" s="708"/>
      <c r="Y26" s="696">
        <f t="shared" si="7"/>
        <v>45606</v>
      </c>
      <c r="Z26" s="766">
        <f t="shared" si="4"/>
        <v>1</v>
      </c>
      <c r="AA26" s="770"/>
      <c r="AB26" s="705"/>
      <c r="AC26" s="705"/>
      <c r="AD26" s="708"/>
      <c r="AE26" s="696">
        <f t="shared" si="8"/>
        <v>45636</v>
      </c>
      <c r="AF26" s="766">
        <f t="shared" si="5"/>
        <v>3</v>
      </c>
      <c r="AG26" s="768"/>
      <c r="AH26" s="704"/>
      <c r="AI26" s="704"/>
      <c r="AJ26" s="709"/>
      <c r="AL26" s="695" t="str">
        <f>IF($U$55&gt;$AT$4,"月4超","")</f>
        <v/>
      </c>
      <c r="AO26" s="808"/>
      <c r="AP26" s="809"/>
    </row>
    <row r="27" spans="1:42" s="462" customFormat="1" ht="27" customHeight="1" thickBot="1">
      <c r="A27" s="762">
        <f t="shared" si="9"/>
        <v>45484</v>
      </c>
      <c r="B27" s="766">
        <f t="shared" si="0"/>
        <v>5</v>
      </c>
      <c r="C27" s="771"/>
      <c r="D27" s="704"/>
      <c r="E27" s="704"/>
      <c r="F27" s="709"/>
      <c r="G27" s="696">
        <f t="shared" si="10"/>
        <v>45515</v>
      </c>
      <c r="H27" s="766">
        <f t="shared" si="1"/>
        <v>1</v>
      </c>
      <c r="I27" s="770"/>
      <c r="J27" s="705"/>
      <c r="K27" s="705"/>
      <c r="L27" s="708"/>
      <c r="M27" s="696">
        <f t="shared" si="6"/>
        <v>45546</v>
      </c>
      <c r="N27" s="766">
        <f t="shared" si="2"/>
        <v>4</v>
      </c>
      <c r="O27" s="768"/>
      <c r="P27" s="704"/>
      <c r="Q27" s="704"/>
      <c r="R27" s="709"/>
      <c r="S27" s="1077">
        <f t="shared" si="11"/>
        <v>45576</v>
      </c>
      <c r="T27" s="1078">
        <f t="shared" si="3"/>
        <v>6</v>
      </c>
      <c r="U27" s="771"/>
      <c r="V27" s="704"/>
      <c r="W27" s="704"/>
      <c r="X27" s="709"/>
      <c r="Y27" s="696">
        <f t="shared" si="7"/>
        <v>45607</v>
      </c>
      <c r="Z27" s="766">
        <f t="shared" si="4"/>
        <v>2</v>
      </c>
      <c r="AA27" s="770"/>
      <c r="AB27" s="705"/>
      <c r="AC27" s="705"/>
      <c r="AD27" s="708"/>
      <c r="AE27" s="696">
        <f t="shared" si="8"/>
        <v>45637</v>
      </c>
      <c r="AF27" s="766">
        <f t="shared" si="5"/>
        <v>4</v>
      </c>
      <c r="AG27" s="768"/>
      <c r="AH27" s="704"/>
      <c r="AI27" s="704"/>
      <c r="AJ27" s="709"/>
      <c r="AL27" s="695" t="str">
        <f>IF($AA$55&gt;$AT$4,"月5超","")</f>
        <v/>
      </c>
      <c r="AO27" s="808"/>
      <c r="AP27" s="809"/>
    </row>
    <row r="28" spans="1:42" s="462" customFormat="1" ht="27" customHeight="1" thickBot="1">
      <c r="A28" s="761">
        <f t="shared" si="9"/>
        <v>45485</v>
      </c>
      <c r="B28" s="765">
        <f t="shared" si="0"/>
        <v>6</v>
      </c>
      <c r="C28" s="768"/>
      <c r="D28" s="704"/>
      <c r="E28" s="704"/>
      <c r="F28" s="709"/>
      <c r="G28" s="696">
        <f t="shared" si="10"/>
        <v>45516</v>
      </c>
      <c r="H28" s="766">
        <f t="shared" si="1"/>
        <v>2</v>
      </c>
      <c r="I28" s="770"/>
      <c r="J28" s="705"/>
      <c r="K28" s="705"/>
      <c r="L28" s="708"/>
      <c r="M28" s="700">
        <f t="shared" si="6"/>
        <v>45547</v>
      </c>
      <c r="N28" s="766">
        <f t="shared" si="2"/>
        <v>5</v>
      </c>
      <c r="O28" s="768"/>
      <c r="P28" s="705"/>
      <c r="Q28" s="705"/>
      <c r="R28" s="708"/>
      <c r="S28" s="1075">
        <f t="shared" si="11"/>
        <v>45577</v>
      </c>
      <c r="T28" s="1076">
        <f t="shared" si="3"/>
        <v>7</v>
      </c>
      <c r="U28" s="768"/>
      <c r="V28" s="704"/>
      <c r="W28" s="704"/>
      <c r="X28" s="709"/>
      <c r="Y28" s="696">
        <f t="shared" si="7"/>
        <v>45608</v>
      </c>
      <c r="Z28" s="766">
        <f t="shared" si="4"/>
        <v>3</v>
      </c>
      <c r="AA28" s="770"/>
      <c r="AB28" s="705"/>
      <c r="AC28" s="705"/>
      <c r="AD28" s="708"/>
      <c r="AE28" s="700">
        <f t="shared" si="8"/>
        <v>45638</v>
      </c>
      <c r="AF28" s="766">
        <f t="shared" si="5"/>
        <v>5</v>
      </c>
      <c r="AG28" s="770"/>
      <c r="AH28" s="705"/>
      <c r="AI28" s="705"/>
      <c r="AJ28" s="708"/>
      <c r="AL28" s="698" t="str">
        <f>IF($AG$55&gt;$AT$4,"月6超","")</f>
        <v/>
      </c>
      <c r="AO28" s="808"/>
      <c r="AP28" s="809"/>
    </row>
    <row r="29" spans="1:42" s="462" customFormat="1" ht="27" customHeight="1" thickBot="1">
      <c r="A29" s="761">
        <f t="shared" si="9"/>
        <v>45486</v>
      </c>
      <c r="B29" s="765">
        <f t="shared" si="0"/>
        <v>7</v>
      </c>
      <c r="C29" s="769"/>
      <c r="D29" s="705"/>
      <c r="E29" s="705"/>
      <c r="F29" s="708"/>
      <c r="G29" s="696">
        <f t="shared" si="10"/>
        <v>45517</v>
      </c>
      <c r="H29" s="766">
        <f t="shared" si="1"/>
        <v>3</v>
      </c>
      <c r="I29" s="770"/>
      <c r="J29" s="705"/>
      <c r="K29" s="705"/>
      <c r="L29" s="708"/>
      <c r="M29" s="700">
        <f t="shared" si="6"/>
        <v>45548</v>
      </c>
      <c r="N29" s="766">
        <f t="shared" si="2"/>
        <v>6</v>
      </c>
      <c r="O29" s="770"/>
      <c r="P29" s="705"/>
      <c r="Q29" s="705"/>
      <c r="R29" s="708"/>
      <c r="S29" s="1075">
        <f t="shared" si="11"/>
        <v>45578</v>
      </c>
      <c r="T29" s="1076">
        <f t="shared" si="3"/>
        <v>1</v>
      </c>
      <c r="U29" s="769"/>
      <c r="V29" s="705"/>
      <c r="W29" s="705"/>
      <c r="X29" s="708"/>
      <c r="Y29" s="696">
        <f t="shared" si="7"/>
        <v>45609</v>
      </c>
      <c r="Z29" s="766">
        <f t="shared" si="4"/>
        <v>4</v>
      </c>
      <c r="AA29" s="770"/>
      <c r="AB29" s="705"/>
      <c r="AC29" s="705"/>
      <c r="AD29" s="708"/>
      <c r="AE29" s="700">
        <f t="shared" si="8"/>
        <v>45639</v>
      </c>
      <c r="AF29" s="766">
        <f t="shared" si="5"/>
        <v>6</v>
      </c>
      <c r="AG29" s="770"/>
      <c r="AH29" s="705"/>
      <c r="AI29" s="705"/>
      <c r="AJ29" s="708"/>
      <c r="AL29" s="699"/>
      <c r="AO29" s="808"/>
      <c r="AP29" s="809"/>
    </row>
    <row r="30" spans="1:42" s="462" customFormat="1" ht="27" customHeight="1" thickBot="1">
      <c r="A30" s="761">
        <f t="shared" si="9"/>
        <v>45487</v>
      </c>
      <c r="B30" s="765">
        <f t="shared" si="0"/>
        <v>1</v>
      </c>
      <c r="C30" s="769"/>
      <c r="D30" s="705"/>
      <c r="E30" s="705"/>
      <c r="F30" s="708"/>
      <c r="G30" s="696">
        <f t="shared" si="10"/>
        <v>45518</v>
      </c>
      <c r="H30" s="766">
        <f t="shared" si="1"/>
        <v>4</v>
      </c>
      <c r="I30" s="770"/>
      <c r="J30" s="705"/>
      <c r="K30" s="705"/>
      <c r="L30" s="708"/>
      <c r="M30" s="700">
        <f t="shared" si="6"/>
        <v>45549</v>
      </c>
      <c r="N30" s="766">
        <f t="shared" si="2"/>
        <v>7</v>
      </c>
      <c r="O30" s="770"/>
      <c r="P30" s="705"/>
      <c r="Q30" s="705"/>
      <c r="R30" s="708"/>
      <c r="S30" s="1075">
        <f t="shared" si="11"/>
        <v>45579</v>
      </c>
      <c r="T30" s="1076">
        <f t="shared" si="3"/>
        <v>2</v>
      </c>
      <c r="U30" s="769"/>
      <c r="V30" s="705"/>
      <c r="W30" s="705"/>
      <c r="X30" s="708"/>
      <c r="Y30" s="696">
        <f t="shared" si="7"/>
        <v>45610</v>
      </c>
      <c r="Z30" s="766">
        <f t="shared" si="4"/>
        <v>5</v>
      </c>
      <c r="AA30" s="770"/>
      <c r="AB30" s="705"/>
      <c r="AC30" s="705"/>
      <c r="AD30" s="708"/>
      <c r="AE30" s="700">
        <f t="shared" si="8"/>
        <v>45640</v>
      </c>
      <c r="AF30" s="766">
        <f t="shared" si="5"/>
        <v>7</v>
      </c>
      <c r="AG30" s="770"/>
      <c r="AH30" s="705"/>
      <c r="AI30" s="705"/>
      <c r="AJ30" s="708"/>
      <c r="AL30" s="698" t="str">
        <f>IF(J8&lt;&gt;M8,"総不一","")</f>
        <v/>
      </c>
      <c r="AO30" s="808"/>
      <c r="AP30" s="809"/>
    </row>
    <row r="31" spans="1:42" s="462" customFormat="1" ht="27" customHeight="1" thickBot="1">
      <c r="A31" s="761">
        <f t="shared" si="9"/>
        <v>45488</v>
      </c>
      <c r="B31" s="765">
        <f t="shared" si="0"/>
        <v>2</v>
      </c>
      <c r="C31" s="769"/>
      <c r="D31" s="705"/>
      <c r="E31" s="705"/>
      <c r="F31" s="708"/>
      <c r="G31" s="696">
        <f t="shared" si="10"/>
        <v>45519</v>
      </c>
      <c r="H31" s="766">
        <f t="shared" si="1"/>
        <v>5</v>
      </c>
      <c r="I31" s="770"/>
      <c r="J31" s="705"/>
      <c r="K31" s="705"/>
      <c r="L31" s="708"/>
      <c r="M31" s="700">
        <f t="shared" si="6"/>
        <v>45550</v>
      </c>
      <c r="N31" s="766">
        <f t="shared" si="2"/>
        <v>1</v>
      </c>
      <c r="O31" s="768"/>
      <c r="P31" s="705"/>
      <c r="Q31" s="705"/>
      <c r="R31" s="708"/>
      <c r="S31" s="1075">
        <f t="shared" si="11"/>
        <v>45580</v>
      </c>
      <c r="T31" s="1076">
        <f t="shared" si="3"/>
        <v>3</v>
      </c>
      <c r="U31" s="769"/>
      <c r="V31" s="705"/>
      <c r="W31" s="705"/>
      <c r="X31" s="708"/>
      <c r="Y31" s="696">
        <f t="shared" si="7"/>
        <v>45611</v>
      </c>
      <c r="Z31" s="766">
        <f t="shared" si="4"/>
        <v>6</v>
      </c>
      <c r="AA31" s="770"/>
      <c r="AB31" s="705"/>
      <c r="AC31" s="705"/>
      <c r="AD31" s="708"/>
      <c r="AE31" s="700">
        <f t="shared" si="8"/>
        <v>45641</v>
      </c>
      <c r="AF31" s="766">
        <f t="shared" si="5"/>
        <v>1</v>
      </c>
      <c r="AG31" s="770"/>
      <c r="AH31" s="705"/>
      <c r="AI31" s="705"/>
      <c r="AJ31" s="708"/>
      <c r="AL31" s="698" t="str">
        <f>IF(J9&lt;&gt;M9,"学不一","")</f>
        <v/>
      </c>
      <c r="AO31" s="808"/>
      <c r="AP31" s="809"/>
    </row>
    <row r="32" spans="1:42" s="462" customFormat="1" ht="27" customHeight="1" thickBot="1">
      <c r="A32" s="761">
        <f t="shared" si="9"/>
        <v>45489</v>
      </c>
      <c r="B32" s="765">
        <f t="shared" si="0"/>
        <v>3</v>
      </c>
      <c r="C32" s="769"/>
      <c r="D32" s="705"/>
      <c r="E32" s="705"/>
      <c r="F32" s="708"/>
      <c r="G32" s="696">
        <f t="shared" si="10"/>
        <v>45520</v>
      </c>
      <c r="H32" s="766">
        <f t="shared" si="1"/>
        <v>6</v>
      </c>
      <c r="I32" s="770"/>
      <c r="J32" s="705"/>
      <c r="K32" s="705"/>
      <c r="L32" s="708"/>
      <c r="M32" s="700">
        <f t="shared" si="6"/>
        <v>45551</v>
      </c>
      <c r="N32" s="766">
        <f t="shared" si="2"/>
        <v>2</v>
      </c>
      <c r="O32" s="768"/>
      <c r="P32" s="705"/>
      <c r="Q32" s="705"/>
      <c r="R32" s="708"/>
      <c r="S32" s="1075">
        <f t="shared" si="11"/>
        <v>45581</v>
      </c>
      <c r="T32" s="1076">
        <f t="shared" si="3"/>
        <v>4</v>
      </c>
      <c r="U32" s="769"/>
      <c r="V32" s="705"/>
      <c r="W32" s="705"/>
      <c r="X32" s="708"/>
      <c r="Y32" s="696">
        <f t="shared" si="7"/>
        <v>45612</v>
      </c>
      <c r="Z32" s="766">
        <f t="shared" si="4"/>
        <v>7</v>
      </c>
      <c r="AA32" s="770"/>
      <c r="AB32" s="705"/>
      <c r="AC32" s="705"/>
      <c r="AD32" s="708"/>
      <c r="AE32" s="700">
        <f t="shared" si="8"/>
        <v>45642</v>
      </c>
      <c r="AF32" s="766">
        <f t="shared" si="5"/>
        <v>2</v>
      </c>
      <c r="AG32" s="770"/>
      <c r="AH32" s="705"/>
      <c r="AI32" s="705"/>
      <c r="AJ32" s="708"/>
      <c r="AL32" s="698" t="str">
        <f>IF(J10&lt;&gt;M10,"実不一","")</f>
        <v/>
      </c>
      <c r="AO32" s="808"/>
      <c r="AP32" s="809"/>
    </row>
    <row r="33" spans="1:42" s="462" customFormat="1" ht="27" customHeight="1" thickBot="1">
      <c r="A33" s="761">
        <f t="shared" si="9"/>
        <v>45490</v>
      </c>
      <c r="B33" s="765">
        <f t="shared" si="0"/>
        <v>4</v>
      </c>
      <c r="C33" s="769"/>
      <c r="D33" s="705"/>
      <c r="E33" s="705"/>
      <c r="F33" s="708"/>
      <c r="G33" s="696">
        <f t="shared" si="10"/>
        <v>45521</v>
      </c>
      <c r="H33" s="766">
        <f t="shared" si="1"/>
        <v>7</v>
      </c>
      <c r="I33" s="770"/>
      <c r="J33" s="705"/>
      <c r="K33" s="705"/>
      <c r="L33" s="708"/>
      <c r="M33" s="700">
        <f t="shared" si="6"/>
        <v>45552</v>
      </c>
      <c r="N33" s="766">
        <f t="shared" si="2"/>
        <v>3</v>
      </c>
      <c r="O33" s="770"/>
      <c r="P33" s="705"/>
      <c r="Q33" s="705"/>
      <c r="R33" s="708"/>
      <c r="S33" s="1075">
        <f t="shared" si="11"/>
        <v>45582</v>
      </c>
      <c r="T33" s="1076">
        <f t="shared" si="3"/>
        <v>5</v>
      </c>
      <c r="U33" s="769"/>
      <c r="V33" s="705"/>
      <c r="W33" s="705"/>
      <c r="X33" s="708"/>
      <c r="Y33" s="696">
        <f t="shared" si="7"/>
        <v>45613</v>
      </c>
      <c r="Z33" s="766">
        <f t="shared" si="4"/>
        <v>1</v>
      </c>
      <c r="AA33" s="770"/>
      <c r="AB33" s="705"/>
      <c r="AC33" s="705"/>
      <c r="AD33" s="708"/>
      <c r="AE33" s="700">
        <f t="shared" si="8"/>
        <v>45643</v>
      </c>
      <c r="AF33" s="766">
        <f t="shared" si="5"/>
        <v>3</v>
      </c>
      <c r="AG33" s="770"/>
      <c r="AH33" s="705"/>
      <c r="AI33" s="705"/>
      <c r="AJ33" s="708"/>
      <c r="AL33" s="698" t="str">
        <f>IF(J11&lt;&gt;M11,"就不一","")</f>
        <v/>
      </c>
      <c r="AO33" s="808"/>
      <c r="AP33" s="809"/>
    </row>
    <row r="34" spans="1:42" s="462" customFormat="1" ht="27" customHeight="1" thickBot="1">
      <c r="A34" s="761">
        <f t="shared" si="9"/>
        <v>45491</v>
      </c>
      <c r="B34" s="765">
        <f t="shared" si="0"/>
        <v>5</v>
      </c>
      <c r="C34" s="769"/>
      <c r="D34" s="705"/>
      <c r="E34" s="705"/>
      <c r="F34" s="708"/>
      <c r="G34" s="696">
        <f t="shared" si="10"/>
        <v>45522</v>
      </c>
      <c r="H34" s="766">
        <f t="shared" si="1"/>
        <v>1</v>
      </c>
      <c r="I34" s="770"/>
      <c r="J34" s="705"/>
      <c r="K34" s="705"/>
      <c r="L34" s="708"/>
      <c r="M34" s="700">
        <f t="shared" si="6"/>
        <v>45553</v>
      </c>
      <c r="N34" s="765">
        <f t="shared" si="2"/>
        <v>4</v>
      </c>
      <c r="O34" s="768"/>
      <c r="P34" s="705"/>
      <c r="Q34" s="705"/>
      <c r="R34" s="708"/>
      <c r="S34" s="1075">
        <f t="shared" si="11"/>
        <v>45583</v>
      </c>
      <c r="T34" s="1076">
        <f t="shared" si="3"/>
        <v>6</v>
      </c>
      <c r="U34" s="769"/>
      <c r="V34" s="705"/>
      <c r="W34" s="705"/>
      <c r="X34" s="708"/>
      <c r="Y34" s="696">
        <f t="shared" si="7"/>
        <v>45614</v>
      </c>
      <c r="Z34" s="766">
        <f t="shared" si="4"/>
        <v>2</v>
      </c>
      <c r="AA34" s="770"/>
      <c r="AB34" s="705"/>
      <c r="AC34" s="705"/>
      <c r="AD34" s="708"/>
      <c r="AE34" s="700">
        <f t="shared" si="8"/>
        <v>45644</v>
      </c>
      <c r="AF34" s="765">
        <f t="shared" si="5"/>
        <v>4</v>
      </c>
      <c r="AG34" s="769"/>
      <c r="AH34" s="705"/>
      <c r="AI34" s="705"/>
      <c r="AJ34" s="708"/>
      <c r="AL34" s="699"/>
      <c r="AO34" s="808"/>
      <c r="AP34" s="809"/>
    </row>
    <row r="35" spans="1:42" s="462" customFormat="1" ht="27" customHeight="1" thickBot="1">
      <c r="A35" s="761">
        <f t="shared" si="9"/>
        <v>45492</v>
      </c>
      <c r="B35" s="765">
        <f t="shared" si="0"/>
        <v>6</v>
      </c>
      <c r="C35" s="768"/>
      <c r="D35" s="704"/>
      <c r="E35" s="704"/>
      <c r="F35" s="709"/>
      <c r="G35" s="696">
        <f t="shared" si="10"/>
        <v>45523</v>
      </c>
      <c r="H35" s="766">
        <f t="shared" si="1"/>
        <v>2</v>
      </c>
      <c r="I35" s="768"/>
      <c r="J35" s="704"/>
      <c r="K35" s="704"/>
      <c r="L35" s="709"/>
      <c r="M35" s="700">
        <f t="shared" si="6"/>
        <v>45554</v>
      </c>
      <c r="N35" s="766">
        <f t="shared" si="2"/>
        <v>5</v>
      </c>
      <c r="O35" s="768"/>
      <c r="P35" s="705"/>
      <c r="Q35" s="705"/>
      <c r="R35" s="708"/>
      <c r="S35" s="1075">
        <f t="shared" si="11"/>
        <v>45584</v>
      </c>
      <c r="T35" s="1076">
        <f t="shared" si="3"/>
        <v>7</v>
      </c>
      <c r="U35" s="768"/>
      <c r="V35" s="704"/>
      <c r="W35" s="704"/>
      <c r="X35" s="709"/>
      <c r="Y35" s="696">
        <f t="shared" si="7"/>
        <v>45615</v>
      </c>
      <c r="Z35" s="766">
        <f t="shared" si="4"/>
        <v>3</v>
      </c>
      <c r="AA35" s="768"/>
      <c r="AB35" s="704"/>
      <c r="AC35" s="704"/>
      <c r="AD35" s="709"/>
      <c r="AE35" s="700">
        <f t="shared" si="8"/>
        <v>45645</v>
      </c>
      <c r="AF35" s="766">
        <f t="shared" si="5"/>
        <v>5</v>
      </c>
      <c r="AG35" s="770"/>
      <c r="AH35" s="705"/>
      <c r="AI35" s="705"/>
      <c r="AJ35" s="708"/>
      <c r="AL35" s="698" t="str">
        <f>IF(($M$9+$M$10)&lt;$AR$3,"実訓不","")</f>
        <v>実訓不</v>
      </c>
      <c r="AO35" s="808"/>
      <c r="AP35" s="809"/>
    </row>
    <row r="36" spans="1:42" s="462" customFormat="1" ht="27" customHeight="1" thickBot="1">
      <c r="A36" s="761">
        <f t="shared" si="9"/>
        <v>45493</v>
      </c>
      <c r="B36" s="765">
        <f t="shared" si="0"/>
        <v>7</v>
      </c>
      <c r="C36" s="769"/>
      <c r="D36" s="705"/>
      <c r="E36" s="705"/>
      <c r="F36" s="708"/>
      <c r="G36" s="700">
        <f t="shared" si="10"/>
        <v>45524</v>
      </c>
      <c r="H36" s="765">
        <f t="shared" si="1"/>
        <v>3</v>
      </c>
      <c r="I36" s="769"/>
      <c r="J36" s="705"/>
      <c r="K36" s="705"/>
      <c r="L36" s="708"/>
      <c r="M36" s="700">
        <f t="shared" si="6"/>
        <v>45555</v>
      </c>
      <c r="N36" s="766">
        <f t="shared" si="2"/>
        <v>6</v>
      </c>
      <c r="O36" s="770"/>
      <c r="P36" s="705"/>
      <c r="Q36" s="705"/>
      <c r="R36" s="708"/>
      <c r="S36" s="1075">
        <f t="shared" si="11"/>
        <v>45585</v>
      </c>
      <c r="T36" s="1076">
        <f t="shared" si="3"/>
        <v>1</v>
      </c>
      <c r="U36" s="769"/>
      <c r="V36" s="705"/>
      <c r="W36" s="705"/>
      <c r="X36" s="708"/>
      <c r="Y36" s="700">
        <f t="shared" si="7"/>
        <v>45616</v>
      </c>
      <c r="Z36" s="765">
        <f t="shared" si="4"/>
        <v>4</v>
      </c>
      <c r="AA36" s="769"/>
      <c r="AB36" s="705"/>
      <c r="AC36" s="705"/>
      <c r="AD36" s="708"/>
      <c r="AE36" s="700">
        <f t="shared" si="8"/>
        <v>45646</v>
      </c>
      <c r="AF36" s="766">
        <f t="shared" si="5"/>
        <v>6</v>
      </c>
      <c r="AG36" s="770"/>
      <c r="AH36" s="705"/>
      <c r="AI36" s="705"/>
      <c r="AJ36" s="708"/>
      <c r="AL36" s="698" t="str">
        <f>IF(($M$9+$M$10)&gt;$AT$3,"実訓超","")</f>
        <v/>
      </c>
      <c r="AO36" s="808"/>
      <c r="AP36" s="809"/>
    </row>
    <row r="37" spans="1:42" s="462" customFormat="1" ht="27" customHeight="1" thickBot="1">
      <c r="A37" s="761">
        <f t="shared" si="9"/>
        <v>45494</v>
      </c>
      <c r="B37" s="765">
        <f t="shared" si="0"/>
        <v>1</v>
      </c>
      <c r="C37" s="769"/>
      <c r="D37" s="705"/>
      <c r="E37" s="705"/>
      <c r="F37" s="708"/>
      <c r="G37" s="696">
        <f t="shared" si="10"/>
        <v>45525</v>
      </c>
      <c r="H37" s="766">
        <f t="shared" si="1"/>
        <v>4</v>
      </c>
      <c r="I37" s="768"/>
      <c r="J37" s="704"/>
      <c r="K37" s="704"/>
      <c r="L37" s="709"/>
      <c r="M37" s="700">
        <f t="shared" si="6"/>
        <v>45556</v>
      </c>
      <c r="N37" s="766">
        <f t="shared" si="2"/>
        <v>7</v>
      </c>
      <c r="O37" s="770"/>
      <c r="P37" s="705"/>
      <c r="Q37" s="705"/>
      <c r="R37" s="708"/>
      <c r="S37" s="1075">
        <f t="shared" si="11"/>
        <v>45586</v>
      </c>
      <c r="T37" s="1076">
        <f t="shared" si="3"/>
        <v>2</v>
      </c>
      <c r="U37" s="769"/>
      <c r="V37" s="705"/>
      <c r="W37" s="705"/>
      <c r="X37" s="708"/>
      <c r="Y37" s="696">
        <f t="shared" si="7"/>
        <v>45617</v>
      </c>
      <c r="Z37" s="766">
        <f t="shared" si="4"/>
        <v>5</v>
      </c>
      <c r="AA37" s="768"/>
      <c r="AB37" s="704"/>
      <c r="AC37" s="704"/>
      <c r="AD37" s="709"/>
      <c r="AE37" s="700">
        <f t="shared" si="8"/>
        <v>45647</v>
      </c>
      <c r="AF37" s="766">
        <f t="shared" si="5"/>
        <v>7</v>
      </c>
      <c r="AG37" s="770"/>
      <c r="AH37" s="705"/>
      <c r="AI37" s="705"/>
      <c r="AJ37" s="708"/>
      <c r="AL37" s="698" t="str">
        <f>IF($M$11&lt;$AR$14,"就支不","")</f>
        <v>就支不</v>
      </c>
      <c r="AO37" s="808"/>
      <c r="AP37" s="809"/>
    </row>
    <row r="38" spans="1:42" s="462" customFormat="1" ht="27" customHeight="1" thickBot="1">
      <c r="A38" s="761">
        <f t="shared" si="9"/>
        <v>45495</v>
      </c>
      <c r="B38" s="765">
        <f t="shared" si="0"/>
        <v>2</v>
      </c>
      <c r="C38" s="769"/>
      <c r="D38" s="705"/>
      <c r="E38" s="705"/>
      <c r="F38" s="708"/>
      <c r="G38" s="696">
        <f t="shared" si="10"/>
        <v>45526</v>
      </c>
      <c r="H38" s="766">
        <f t="shared" si="1"/>
        <v>5</v>
      </c>
      <c r="I38" s="768"/>
      <c r="J38" s="704"/>
      <c r="K38" s="704"/>
      <c r="L38" s="709"/>
      <c r="M38" s="700">
        <f t="shared" si="6"/>
        <v>45557</v>
      </c>
      <c r="N38" s="765">
        <f t="shared" si="2"/>
        <v>1</v>
      </c>
      <c r="O38" s="768"/>
      <c r="P38" s="705"/>
      <c r="Q38" s="705"/>
      <c r="R38" s="708"/>
      <c r="S38" s="1075">
        <f t="shared" si="11"/>
        <v>45587</v>
      </c>
      <c r="T38" s="1076">
        <f t="shared" si="3"/>
        <v>3</v>
      </c>
      <c r="U38" s="769"/>
      <c r="V38" s="705"/>
      <c r="W38" s="705"/>
      <c r="X38" s="708"/>
      <c r="Y38" s="696">
        <f t="shared" si="7"/>
        <v>45618</v>
      </c>
      <c r="Z38" s="766">
        <f t="shared" si="4"/>
        <v>6</v>
      </c>
      <c r="AA38" s="768"/>
      <c r="AB38" s="704"/>
      <c r="AC38" s="704"/>
      <c r="AD38" s="709"/>
      <c r="AE38" s="700">
        <f t="shared" si="8"/>
        <v>45648</v>
      </c>
      <c r="AF38" s="765">
        <f t="shared" si="5"/>
        <v>1</v>
      </c>
      <c r="AG38" s="770"/>
      <c r="AH38" s="705"/>
      <c r="AI38" s="705"/>
      <c r="AJ38" s="708"/>
      <c r="AL38" s="698" t="str">
        <f>IF($M$11&gt;$AT$14,"就支超","")</f>
        <v/>
      </c>
      <c r="AO38" s="808"/>
      <c r="AP38" s="809"/>
    </row>
    <row r="39" spans="1:42" s="462" customFormat="1" ht="27" customHeight="1">
      <c r="A39" s="761">
        <f t="shared" si="9"/>
        <v>45496</v>
      </c>
      <c r="B39" s="765">
        <f t="shared" si="0"/>
        <v>3</v>
      </c>
      <c r="C39" s="769"/>
      <c r="D39" s="705"/>
      <c r="E39" s="705"/>
      <c r="F39" s="708"/>
      <c r="G39" s="700">
        <f t="shared" si="10"/>
        <v>45527</v>
      </c>
      <c r="H39" s="765">
        <f t="shared" si="1"/>
        <v>6</v>
      </c>
      <c r="I39" s="770"/>
      <c r="J39" s="705"/>
      <c r="K39" s="705"/>
      <c r="L39" s="708"/>
      <c r="M39" s="700">
        <f t="shared" si="6"/>
        <v>45558</v>
      </c>
      <c r="N39" s="765">
        <f t="shared" si="2"/>
        <v>2</v>
      </c>
      <c r="O39" s="768"/>
      <c r="P39" s="705"/>
      <c r="Q39" s="705"/>
      <c r="R39" s="708"/>
      <c r="S39" s="1075">
        <f t="shared" si="11"/>
        <v>45588</v>
      </c>
      <c r="T39" s="1076">
        <f t="shared" si="3"/>
        <v>4</v>
      </c>
      <c r="U39" s="769"/>
      <c r="V39" s="705"/>
      <c r="W39" s="705"/>
      <c r="X39" s="708"/>
      <c r="Y39" s="700">
        <f t="shared" si="7"/>
        <v>45619</v>
      </c>
      <c r="Z39" s="765">
        <f t="shared" si="4"/>
        <v>7</v>
      </c>
      <c r="AA39" s="770"/>
      <c r="AB39" s="705"/>
      <c r="AC39" s="705"/>
      <c r="AD39" s="708"/>
      <c r="AE39" s="700">
        <f t="shared" si="8"/>
        <v>45649</v>
      </c>
      <c r="AF39" s="765">
        <f t="shared" si="5"/>
        <v>2</v>
      </c>
      <c r="AG39" s="769"/>
      <c r="AH39" s="705"/>
      <c r="AI39" s="705"/>
      <c r="AJ39" s="708"/>
      <c r="AL39" s="747"/>
      <c r="AO39" s="808"/>
      <c r="AP39" s="809"/>
    </row>
    <row r="40" spans="1:42" s="462" customFormat="1" ht="27" customHeight="1">
      <c r="A40" s="761">
        <f t="shared" si="9"/>
        <v>45497</v>
      </c>
      <c r="B40" s="765">
        <f t="shared" si="0"/>
        <v>4</v>
      </c>
      <c r="C40" s="769"/>
      <c r="D40" s="705"/>
      <c r="E40" s="705"/>
      <c r="F40" s="708"/>
      <c r="G40" s="696">
        <f t="shared" si="10"/>
        <v>45528</v>
      </c>
      <c r="H40" s="766">
        <f t="shared" si="1"/>
        <v>7</v>
      </c>
      <c r="I40" s="769"/>
      <c r="J40" s="705"/>
      <c r="K40" s="705"/>
      <c r="L40" s="708"/>
      <c r="M40" s="700">
        <f t="shared" si="6"/>
        <v>45559</v>
      </c>
      <c r="N40" s="765">
        <f t="shared" si="2"/>
        <v>3</v>
      </c>
      <c r="O40" s="768"/>
      <c r="P40" s="705"/>
      <c r="Q40" s="705"/>
      <c r="R40" s="708"/>
      <c r="S40" s="1075">
        <f t="shared" si="11"/>
        <v>45589</v>
      </c>
      <c r="T40" s="1076">
        <f t="shared" si="3"/>
        <v>5</v>
      </c>
      <c r="U40" s="769"/>
      <c r="V40" s="705"/>
      <c r="W40" s="705"/>
      <c r="X40" s="708"/>
      <c r="Y40" s="696">
        <f t="shared" si="7"/>
        <v>45620</v>
      </c>
      <c r="Z40" s="766">
        <f t="shared" si="4"/>
        <v>1</v>
      </c>
      <c r="AA40" s="770"/>
      <c r="AB40" s="705"/>
      <c r="AC40" s="705"/>
      <c r="AD40" s="708"/>
      <c r="AE40" s="700">
        <f t="shared" si="8"/>
        <v>45650</v>
      </c>
      <c r="AF40" s="765">
        <f t="shared" si="5"/>
        <v>3</v>
      </c>
      <c r="AG40" s="769"/>
      <c r="AH40" s="705"/>
      <c r="AI40" s="705"/>
      <c r="AJ40" s="708"/>
      <c r="AL40" s="747"/>
      <c r="AO40" s="810"/>
      <c r="AP40" s="811"/>
    </row>
    <row r="41" spans="1:42" s="462" customFormat="1" ht="27" customHeight="1">
      <c r="A41" s="761">
        <f t="shared" si="9"/>
        <v>45498</v>
      </c>
      <c r="B41" s="765">
        <f t="shared" si="0"/>
        <v>5</v>
      </c>
      <c r="C41" s="769"/>
      <c r="D41" s="705"/>
      <c r="E41" s="705"/>
      <c r="F41" s="708"/>
      <c r="G41" s="696">
        <f t="shared" si="10"/>
        <v>45529</v>
      </c>
      <c r="H41" s="766">
        <f t="shared" si="1"/>
        <v>1</v>
      </c>
      <c r="I41" s="770"/>
      <c r="J41" s="705"/>
      <c r="K41" s="705"/>
      <c r="L41" s="708"/>
      <c r="M41" s="700">
        <f t="shared" si="6"/>
        <v>45560</v>
      </c>
      <c r="N41" s="765">
        <f t="shared" si="2"/>
        <v>4</v>
      </c>
      <c r="O41" s="769"/>
      <c r="P41" s="705"/>
      <c r="Q41" s="705"/>
      <c r="R41" s="708"/>
      <c r="S41" s="1075">
        <f t="shared" si="11"/>
        <v>45590</v>
      </c>
      <c r="T41" s="1076">
        <f t="shared" si="3"/>
        <v>6</v>
      </c>
      <c r="U41" s="769"/>
      <c r="V41" s="705"/>
      <c r="W41" s="705"/>
      <c r="X41" s="708"/>
      <c r="Y41" s="696">
        <f t="shared" si="7"/>
        <v>45621</v>
      </c>
      <c r="Z41" s="766">
        <f t="shared" si="4"/>
        <v>2</v>
      </c>
      <c r="AA41" s="770"/>
      <c r="AB41" s="705"/>
      <c r="AC41" s="705"/>
      <c r="AD41" s="708"/>
      <c r="AE41" s="700">
        <f t="shared" si="8"/>
        <v>45651</v>
      </c>
      <c r="AF41" s="765">
        <f t="shared" si="5"/>
        <v>4</v>
      </c>
      <c r="AG41" s="769"/>
      <c r="AH41" s="705"/>
      <c r="AI41" s="705"/>
      <c r="AJ41" s="708"/>
      <c r="AL41" s="747"/>
      <c r="AO41" s="810"/>
      <c r="AP41" s="811"/>
    </row>
    <row r="42" spans="1:42" s="462" customFormat="1" ht="27" customHeight="1">
      <c r="A42" s="761">
        <f t="shared" si="9"/>
        <v>45499</v>
      </c>
      <c r="B42" s="765">
        <f t="shared" si="0"/>
        <v>6</v>
      </c>
      <c r="C42" s="768"/>
      <c r="D42" s="704"/>
      <c r="E42" s="704"/>
      <c r="F42" s="709"/>
      <c r="G42" s="696">
        <f t="shared" si="10"/>
        <v>45530</v>
      </c>
      <c r="H42" s="766">
        <f t="shared" si="1"/>
        <v>2</v>
      </c>
      <c r="I42" s="770"/>
      <c r="J42" s="705"/>
      <c r="K42" s="705"/>
      <c r="L42" s="708"/>
      <c r="M42" s="700">
        <f t="shared" si="6"/>
        <v>45561</v>
      </c>
      <c r="N42" s="765">
        <f t="shared" si="2"/>
        <v>5</v>
      </c>
      <c r="O42" s="769"/>
      <c r="P42" s="705"/>
      <c r="Q42" s="705"/>
      <c r="R42" s="708"/>
      <c r="S42" s="1075">
        <f t="shared" si="11"/>
        <v>45591</v>
      </c>
      <c r="T42" s="1076">
        <f t="shared" si="3"/>
        <v>7</v>
      </c>
      <c r="U42" s="768"/>
      <c r="V42" s="704"/>
      <c r="W42" s="704"/>
      <c r="X42" s="709"/>
      <c r="Y42" s="696">
        <f t="shared" si="7"/>
        <v>45622</v>
      </c>
      <c r="Z42" s="766">
        <f t="shared" si="4"/>
        <v>3</v>
      </c>
      <c r="AA42" s="770"/>
      <c r="AB42" s="705"/>
      <c r="AC42" s="705"/>
      <c r="AD42" s="708"/>
      <c r="AE42" s="700">
        <f t="shared" si="8"/>
        <v>45652</v>
      </c>
      <c r="AF42" s="765">
        <f t="shared" si="5"/>
        <v>5</v>
      </c>
      <c r="AG42" s="769"/>
      <c r="AH42" s="705"/>
      <c r="AI42" s="705"/>
      <c r="AJ42" s="708"/>
      <c r="AL42" s="747"/>
      <c r="AO42" s="810"/>
      <c r="AP42" s="811"/>
    </row>
    <row r="43" spans="1:42" s="462" customFormat="1" ht="27" customHeight="1">
      <c r="A43" s="761">
        <f t="shared" si="9"/>
        <v>45500</v>
      </c>
      <c r="B43" s="765">
        <f t="shared" si="0"/>
        <v>7</v>
      </c>
      <c r="C43" s="768"/>
      <c r="D43" s="704"/>
      <c r="E43" s="704"/>
      <c r="F43" s="709"/>
      <c r="G43" s="696">
        <f t="shared" si="10"/>
        <v>45531</v>
      </c>
      <c r="H43" s="766">
        <f t="shared" si="1"/>
        <v>3</v>
      </c>
      <c r="I43" s="770"/>
      <c r="J43" s="705"/>
      <c r="K43" s="705"/>
      <c r="L43" s="708"/>
      <c r="M43" s="700">
        <f t="shared" si="6"/>
        <v>45562</v>
      </c>
      <c r="N43" s="765">
        <f>WEEKDAY(M43)</f>
        <v>6</v>
      </c>
      <c r="O43" s="769"/>
      <c r="P43" s="705"/>
      <c r="Q43" s="705"/>
      <c r="R43" s="708"/>
      <c r="S43" s="1075">
        <f t="shared" si="11"/>
        <v>45592</v>
      </c>
      <c r="T43" s="1076">
        <f t="shared" si="3"/>
        <v>1</v>
      </c>
      <c r="U43" s="768"/>
      <c r="V43" s="704"/>
      <c r="W43" s="704"/>
      <c r="X43" s="709"/>
      <c r="Y43" s="696">
        <f t="shared" si="7"/>
        <v>45623</v>
      </c>
      <c r="Z43" s="766">
        <f t="shared" si="4"/>
        <v>4</v>
      </c>
      <c r="AA43" s="770"/>
      <c r="AB43" s="705"/>
      <c r="AC43" s="705"/>
      <c r="AD43" s="708"/>
      <c r="AE43" s="700">
        <f t="shared" si="8"/>
        <v>45653</v>
      </c>
      <c r="AF43" s="765">
        <f>WEEKDAY(AE43)</f>
        <v>6</v>
      </c>
      <c r="AG43" s="769" t="s">
        <v>1163</v>
      </c>
      <c r="AH43" s="705"/>
      <c r="AI43" s="705"/>
      <c r="AJ43" s="708"/>
      <c r="AL43" s="699"/>
      <c r="AO43" s="810"/>
      <c r="AP43" s="811"/>
    </row>
    <row r="44" spans="1:42" s="462" customFormat="1" ht="27" customHeight="1">
      <c r="A44" s="761">
        <f t="shared" si="9"/>
        <v>45501</v>
      </c>
      <c r="B44" s="765">
        <f t="shared" si="0"/>
        <v>1</v>
      </c>
      <c r="C44" s="769"/>
      <c r="D44" s="705"/>
      <c r="E44" s="705"/>
      <c r="F44" s="708"/>
      <c r="G44" s="696">
        <f t="shared" si="10"/>
        <v>45532</v>
      </c>
      <c r="H44" s="766">
        <f t="shared" si="1"/>
        <v>4</v>
      </c>
      <c r="I44" s="770"/>
      <c r="J44" s="705"/>
      <c r="K44" s="705"/>
      <c r="L44" s="708"/>
      <c r="M44" s="700">
        <f t="shared" si="6"/>
        <v>45563</v>
      </c>
      <c r="N44" s="765">
        <f>WEEKDAY(M44)</f>
        <v>7</v>
      </c>
      <c r="O44" s="769"/>
      <c r="P44" s="705"/>
      <c r="Q44" s="705"/>
      <c r="R44" s="708"/>
      <c r="S44" s="1075">
        <f t="shared" si="11"/>
        <v>45593</v>
      </c>
      <c r="T44" s="1076">
        <f t="shared" si="3"/>
        <v>2</v>
      </c>
      <c r="U44" s="769"/>
      <c r="V44" s="705"/>
      <c r="W44" s="705"/>
      <c r="X44" s="708"/>
      <c r="Y44" s="696">
        <f t="shared" si="7"/>
        <v>45624</v>
      </c>
      <c r="Z44" s="766">
        <f t="shared" si="4"/>
        <v>5</v>
      </c>
      <c r="AA44" s="770"/>
      <c r="AB44" s="705"/>
      <c r="AC44" s="705"/>
      <c r="AD44" s="708"/>
      <c r="AE44" s="700">
        <f t="shared" si="8"/>
        <v>45654</v>
      </c>
      <c r="AF44" s="765">
        <f>WEEKDAY(AE44)</f>
        <v>7</v>
      </c>
      <c r="AG44" s="769"/>
      <c r="AH44" s="705"/>
      <c r="AI44" s="705"/>
      <c r="AJ44" s="708"/>
      <c r="AL44" s="754"/>
      <c r="AN44" s="701"/>
      <c r="AO44" s="810"/>
      <c r="AP44" s="811"/>
    </row>
    <row r="45" spans="1:42" s="462" customFormat="1" ht="27" customHeight="1">
      <c r="A45" s="762">
        <f t="shared" si="9"/>
        <v>45502</v>
      </c>
      <c r="B45" s="766">
        <f t="shared" si="0"/>
        <v>2</v>
      </c>
      <c r="C45" s="771"/>
      <c r="D45" s="704"/>
      <c r="E45" s="704"/>
      <c r="F45" s="709"/>
      <c r="G45" s="696">
        <f t="shared" si="10"/>
        <v>45533</v>
      </c>
      <c r="H45" s="766">
        <f t="shared" si="1"/>
        <v>5</v>
      </c>
      <c r="I45" s="770"/>
      <c r="J45" s="705"/>
      <c r="K45" s="705"/>
      <c r="L45" s="708"/>
      <c r="M45" s="700">
        <f t="shared" si="6"/>
        <v>45564</v>
      </c>
      <c r="N45" s="765">
        <f t="shared" ref="N45:N47" si="12">WEEKDAY(M45)</f>
        <v>1</v>
      </c>
      <c r="O45" s="769"/>
      <c r="P45" s="705"/>
      <c r="Q45" s="705"/>
      <c r="R45" s="708"/>
      <c r="S45" s="1077">
        <f t="shared" si="11"/>
        <v>45594</v>
      </c>
      <c r="T45" s="1078">
        <f t="shared" si="3"/>
        <v>3</v>
      </c>
      <c r="U45" s="771"/>
      <c r="V45" s="704"/>
      <c r="W45" s="704"/>
      <c r="X45" s="709"/>
      <c r="Y45" s="696">
        <f t="shared" si="7"/>
        <v>45625</v>
      </c>
      <c r="Z45" s="766">
        <f t="shared" si="4"/>
        <v>6</v>
      </c>
      <c r="AA45" s="770"/>
      <c r="AB45" s="705"/>
      <c r="AC45" s="705"/>
      <c r="AD45" s="708"/>
      <c r="AE45" s="700">
        <f t="shared" si="8"/>
        <v>45655</v>
      </c>
      <c r="AF45" s="765">
        <f t="shared" ref="AF45:AF47" si="13">WEEKDAY(AE45)</f>
        <v>1</v>
      </c>
      <c r="AG45" s="769"/>
      <c r="AH45" s="705"/>
      <c r="AI45" s="705"/>
      <c r="AJ45" s="708"/>
      <c r="AL45" s="754"/>
      <c r="AO45" s="810"/>
      <c r="AP45" s="811"/>
    </row>
    <row r="46" spans="1:42" s="462" customFormat="1" ht="27" customHeight="1">
      <c r="A46" s="761">
        <f t="shared" si="9"/>
        <v>45503</v>
      </c>
      <c r="B46" s="765">
        <f t="shared" si="0"/>
        <v>3</v>
      </c>
      <c r="C46" s="769"/>
      <c r="D46" s="705"/>
      <c r="E46" s="705"/>
      <c r="F46" s="708"/>
      <c r="G46" s="696">
        <f t="shared" si="10"/>
        <v>45534</v>
      </c>
      <c r="H46" s="766">
        <f t="shared" si="1"/>
        <v>6</v>
      </c>
      <c r="I46" s="770"/>
      <c r="J46" s="705"/>
      <c r="K46" s="705"/>
      <c r="L46" s="708"/>
      <c r="M46" s="700">
        <f t="shared" si="6"/>
        <v>45565</v>
      </c>
      <c r="N46" s="765">
        <f t="shared" si="12"/>
        <v>2</v>
      </c>
      <c r="O46" s="769"/>
      <c r="P46" s="705"/>
      <c r="Q46" s="705"/>
      <c r="R46" s="708"/>
      <c r="S46" s="1075">
        <f t="shared" si="11"/>
        <v>45595</v>
      </c>
      <c r="T46" s="1076">
        <f t="shared" si="3"/>
        <v>4</v>
      </c>
      <c r="U46" s="769"/>
      <c r="V46" s="705"/>
      <c r="W46" s="705"/>
      <c r="X46" s="708"/>
      <c r="Y46" s="696">
        <f t="shared" si="7"/>
        <v>45626</v>
      </c>
      <c r="Z46" s="766">
        <f t="shared" si="4"/>
        <v>7</v>
      </c>
      <c r="AA46" s="770"/>
      <c r="AB46" s="705"/>
      <c r="AC46" s="705"/>
      <c r="AD46" s="708"/>
      <c r="AE46" s="700">
        <f t="shared" si="8"/>
        <v>45656</v>
      </c>
      <c r="AF46" s="765">
        <f t="shared" si="13"/>
        <v>2</v>
      </c>
      <c r="AG46" s="769"/>
      <c r="AH46" s="705"/>
      <c r="AI46" s="705"/>
      <c r="AJ46" s="708"/>
      <c r="AL46" s="699"/>
      <c r="AO46" s="810"/>
      <c r="AP46" s="811"/>
    </row>
    <row r="47" spans="1:42" s="462" customFormat="1" ht="27" customHeight="1">
      <c r="A47" s="761">
        <f t="shared" si="9"/>
        <v>45504</v>
      </c>
      <c r="B47" s="765">
        <f t="shared" si="0"/>
        <v>4</v>
      </c>
      <c r="C47" s="769"/>
      <c r="D47" s="705"/>
      <c r="E47" s="705"/>
      <c r="F47" s="708"/>
      <c r="G47" s="700">
        <f t="shared" si="10"/>
        <v>45535</v>
      </c>
      <c r="H47" s="765">
        <f t="shared" si="1"/>
        <v>7</v>
      </c>
      <c r="I47" s="826"/>
      <c r="J47" s="827"/>
      <c r="K47" s="827"/>
      <c r="L47" s="821"/>
      <c r="M47" s="700">
        <f t="shared" si="6"/>
        <v>45566</v>
      </c>
      <c r="N47" s="765">
        <f t="shared" si="12"/>
        <v>3</v>
      </c>
      <c r="O47" s="769"/>
      <c r="P47" s="705"/>
      <c r="Q47" s="705"/>
      <c r="R47" s="708"/>
      <c r="S47" s="1075">
        <f t="shared" si="11"/>
        <v>45596</v>
      </c>
      <c r="T47" s="1076">
        <f t="shared" si="3"/>
        <v>5</v>
      </c>
      <c r="U47" s="769"/>
      <c r="V47" s="705"/>
      <c r="W47" s="705"/>
      <c r="X47" s="708"/>
      <c r="Y47" s="700">
        <f t="shared" si="7"/>
        <v>45627</v>
      </c>
      <c r="Z47" s="765">
        <f t="shared" si="4"/>
        <v>1</v>
      </c>
      <c r="AA47" s="826"/>
      <c r="AB47" s="827"/>
      <c r="AC47" s="827"/>
      <c r="AD47" s="821"/>
      <c r="AE47" s="700">
        <f t="shared" si="8"/>
        <v>45657</v>
      </c>
      <c r="AF47" s="765">
        <f t="shared" si="13"/>
        <v>3</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0</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3</v>
      </c>
      <c r="AH56" s="1888" t="s">
        <v>52</v>
      </c>
      <c r="AI56" s="1889"/>
      <c r="AJ56" s="1890"/>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195"/>
      <c r="B63" s="119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 ref="J2:N2"/>
    <mergeCell ref="O2:R2"/>
    <mergeCell ref="J3:N3"/>
    <mergeCell ref="O3:R3"/>
    <mergeCell ref="J4:N4"/>
    <mergeCell ref="O4:R4"/>
    <mergeCell ref="J7:L7"/>
    <mergeCell ref="M7:N7"/>
    <mergeCell ref="J8:L8"/>
    <mergeCell ref="M8:N8"/>
    <mergeCell ref="I6:R6"/>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H56:AJ56"/>
    <mergeCell ref="AE53:AF53"/>
    <mergeCell ref="AH53:AJ53"/>
    <mergeCell ref="S54:T54"/>
    <mergeCell ref="V54:X54"/>
    <mergeCell ref="Y54:Z54"/>
    <mergeCell ref="AB54:AD54"/>
    <mergeCell ref="AE54:AF54"/>
    <mergeCell ref="AH54:AJ54"/>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s>
  <phoneticPr fontId="2"/>
  <conditionalFormatting sqref="A17:F48">
    <cfRule type="expression" dxfId="201" priority="55">
      <formula>OR($B17=1,$B17=7)</formula>
    </cfRule>
  </conditionalFormatting>
  <conditionalFormatting sqref="G17:L48">
    <cfRule type="expression" dxfId="200" priority="54">
      <formula>OR($H17=1,$H17=7)</formula>
    </cfRule>
  </conditionalFormatting>
  <conditionalFormatting sqref="M17:R48">
    <cfRule type="expression" dxfId="199" priority="53">
      <formula>OR($N17=1,$N17=7)</formula>
    </cfRule>
  </conditionalFormatting>
  <conditionalFormatting sqref="A16:C16 G16:I16 M16:O16 Y16:AA16 AE16:AG16">
    <cfRule type="expression" dxfId="198" priority="41">
      <formula>A17&gt;$AO$4</formula>
    </cfRule>
  </conditionalFormatting>
  <conditionalFormatting sqref="S17:X48">
    <cfRule type="expression" dxfId="197" priority="28">
      <formula>OR($T17=1,$T17=7)</formula>
    </cfRule>
  </conditionalFormatting>
  <conditionalFormatting sqref="Y17:AD48">
    <cfRule type="expression" dxfId="196" priority="30">
      <formula>OR($Z17=1,$Z17=7)</formula>
    </cfRule>
  </conditionalFormatting>
  <conditionalFormatting sqref="AE17:AJ48">
    <cfRule type="expression" dxfId="195" priority="29">
      <formula>OR($AF17=1,$AF17=7)</formula>
    </cfRule>
  </conditionalFormatting>
  <conditionalFormatting sqref="A17:B47">
    <cfRule type="expression" dxfId="194" priority="20">
      <formula>OR($A17&gt;$AO$4,AND(MONTH($A$17)&lt;&gt;MONTH($A17),DAY($A17)&gt;=DAY($A$17)))</formula>
    </cfRule>
  </conditionalFormatting>
  <conditionalFormatting sqref="M17:R47">
    <cfRule type="expression" dxfId="193" priority="21" stopIfTrue="1">
      <formula>OR($M17&gt;$AO$4,AND(MONTH($M$17)&lt;&gt;MONTH($M17),DAY($M17)&gt;=DAY($M$17)))</formula>
    </cfRule>
  </conditionalFormatting>
  <conditionalFormatting sqref="A17:F47">
    <cfRule type="expression" dxfId="192" priority="23" stopIfTrue="1">
      <formula>OR($A17&gt;$AO$4,AND(MONTH($A$17)&lt;&gt;MONTH($A17),DAY($A17)&gt;=DAY($A$17)))</formula>
    </cfRule>
  </conditionalFormatting>
  <conditionalFormatting sqref="G17:L47">
    <cfRule type="expression" dxfId="191" priority="19" stopIfTrue="1">
      <formula>OR($G17&gt;$AO$4,AND(MONTH($G$17)&lt;&gt;MONTH($G17),DAY($G17)&gt;=DAY($G$17)))</formula>
    </cfRule>
  </conditionalFormatting>
  <conditionalFormatting sqref="S16:U16">
    <cfRule type="expression" dxfId="190" priority="16">
      <formula>S17&gt;$AO$4</formula>
    </cfRule>
  </conditionalFormatting>
  <conditionalFormatting sqref="S17:X47">
    <cfRule type="expression" dxfId="189" priority="9" stopIfTrue="1">
      <formula>OR($S17&gt;$AO$4,AND(MONTH($S$17)&lt;&gt;MONTH($S17),DAY($S17)&gt;=DAY($S$17)))</formula>
    </cfRule>
  </conditionalFormatting>
  <conditionalFormatting sqref="Y17:AD47">
    <cfRule type="expression" dxfId="188" priority="13" stopIfTrue="1">
      <formula>OR($Y17&gt;$AO$4,AND(MONTH($Y$17)&lt;&gt;MONTH($Y17),DAY($Y17)&gt;=DAY($Y$17)))</formula>
    </cfRule>
  </conditionalFormatting>
  <conditionalFormatting sqref="AE17:AJ47">
    <cfRule type="expression" dxfId="187" priority="12" stopIfTrue="1">
      <formula>OR($AE17&gt;$AO$4,AND(MONTH($AE$17)&lt;&gt;MONTH($AE17),DAY($AE17)&gt;=DAY($AE$17)))</formula>
    </cfRule>
  </conditionalFormatting>
  <conditionalFormatting sqref="G17:H47">
    <cfRule type="expression" dxfId="186" priority="11">
      <formula>OR($G17&gt;$AO$4,AND(MONTH($G$17)&lt;&gt;MONTH($G17),DAY($G17)&gt;=DAY($G$17)))</formula>
    </cfRule>
  </conditionalFormatting>
  <conditionalFormatting sqref="M17:N47">
    <cfRule type="expression" dxfId="185" priority="10">
      <formula>OR($M17&gt;$AO$4,AND(MONTH($M$17)&lt;&gt;MONTH($M17),DAY($M17)&gt;=DAY($M$17)))</formula>
    </cfRule>
  </conditionalFormatting>
  <conditionalFormatting sqref="S17:T47">
    <cfRule type="expression" dxfId="184" priority="7">
      <formula>OR($S17&gt;$AO$4,AND(MONTH($S$17)&lt;&gt;MONTH($S17),DAY($S17)&gt;=DAY($S$17)))</formula>
    </cfRule>
  </conditionalFormatting>
  <conditionalFormatting sqref="Y17:Z47">
    <cfRule type="expression" dxfId="183" priority="8">
      <formula>OR($Y17&gt;$AO$4,AND(MONTH($Y$17)&lt;&gt;MONTH($Y17),DAY($Y17)&gt;=DAY($Y$17)))</formula>
    </cfRule>
  </conditionalFormatting>
  <conditionalFormatting sqref="AE17:AF47">
    <cfRule type="expression" dxfId="182" priority="6">
      <formula>OR($AE17&gt;$AO$4,AND(MONTH($AE$17)&lt;&gt;MONTH($AE17),DAY($AE17)&gt;=DAY($AE$17)))</formula>
    </cfRule>
  </conditionalFormatting>
  <conditionalFormatting sqref="C17:AG47">
    <cfRule type="containsText" dxfId="181" priority="4" operator="containsText" text="入校式">
      <formula>NOT(ISERROR(SEARCH("入校式",C17)))</formula>
    </cfRule>
    <cfRule type="containsText" dxfId="180" priority="5" operator="containsText" text="修了式">
      <formula>NOT(ISERROR(SEARCH("修了式",C17)))</formula>
    </cfRule>
    <cfRule type="containsText" dxfId="179" priority="48" operator="containsText" text="就職活動日">
      <formula>NOT(ISERROR(SEARCH("就職活動日",C17)))</formula>
    </cfRule>
    <cfRule type="containsText" dxfId="178" priority="49" operator="containsText" text="休校日">
      <formula>NOT(ISERROR(SEARCH("休校日",C17)))</formula>
    </cfRule>
  </conditionalFormatting>
  <conditionalFormatting sqref="I40">
    <cfRule type="expression" dxfId="177" priority="3">
      <formula>OR($B40=1,$B40=7)</formula>
    </cfRule>
  </conditionalFormatting>
  <conditionalFormatting sqref="I40">
    <cfRule type="expression" dxfId="17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topLeftCell="A25" zoomScale="90" zoomScaleNormal="85" zoomScaleSheetLayoutView="90" workbookViewId="0">
      <selection activeCell="I40" sqref="I40"/>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8</v>
      </c>
      <c r="N1" s="68"/>
      <c r="O1" s="69" t="s">
        <v>29</v>
      </c>
      <c r="P1" s="69"/>
      <c r="Q1" s="69"/>
      <c r="R1" s="68"/>
      <c r="S1" s="68"/>
      <c r="T1" s="68"/>
      <c r="U1" s="69"/>
      <c r="V1" s="69"/>
      <c r="W1" s="69"/>
      <c r="X1" s="68"/>
      <c r="Y1" s="68"/>
      <c r="Z1" s="68"/>
      <c r="AA1" s="69"/>
      <c r="AB1" s="69"/>
      <c r="AC1" s="69"/>
      <c r="AD1" s="68"/>
      <c r="AE1" s="70">
        <f>MONTH($AO$3)</f>
        <v>8</v>
      </c>
      <c r="AF1" s="68"/>
      <c r="AG1" s="69" t="s">
        <v>29</v>
      </c>
      <c r="AH1" s="69"/>
      <c r="AI1" s="69"/>
      <c r="AJ1" s="68"/>
    </row>
    <row r="2" spans="1:47" ht="15" customHeight="1" thickBot="1">
      <c r="A2" s="72"/>
      <c r="B2" s="455" t="s">
        <v>463</v>
      </c>
      <c r="C2" s="1291">
        <v>45505</v>
      </c>
      <c r="D2" s="575" t="s">
        <v>515</v>
      </c>
      <c r="E2" s="73"/>
      <c r="F2" s="72"/>
      <c r="G2" s="72"/>
      <c r="H2" s="459"/>
      <c r="I2" s="73"/>
      <c r="J2" s="1915" t="s">
        <v>450</v>
      </c>
      <c r="K2" s="1915"/>
      <c r="L2" s="1915"/>
      <c r="M2" s="1915"/>
      <c r="N2" s="1915"/>
      <c r="O2" s="1913" t="str">
        <f>Data!$A$11</f>
        <v>離職者等再就職訓練（６箇月）</v>
      </c>
      <c r="P2" s="1913"/>
      <c r="Q2" s="1913"/>
      <c r="R2" s="1913"/>
      <c r="S2" s="72"/>
      <c r="T2" s="72"/>
      <c r="U2" s="73"/>
      <c r="V2" s="73"/>
      <c r="W2" s="73"/>
      <c r="X2" s="72"/>
      <c r="Y2" s="72"/>
      <c r="Z2" s="72"/>
      <c r="AA2" s="73"/>
      <c r="AB2" s="1915" t="s">
        <v>450</v>
      </c>
      <c r="AC2" s="1915"/>
      <c r="AD2" s="1915"/>
      <c r="AE2" s="1915"/>
      <c r="AF2" s="1915"/>
      <c r="AG2" s="1913" t="str">
        <f>Data!$A$11</f>
        <v>離職者等再就職訓練（６箇月）</v>
      </c>
      <c r="AH2" s="1913"/>
      <c r="AI2" s="1913"/>
      <c r="AJ2" s="1913"/>
      <c r="AK2" s="452"/>
      <c r="AL2" s="452"/>
      <c r="AQ2" s="228" t="s">
        <v>401</v>
      </c>
      <c r="AR2" s="461">
        <f>VLOOKUP(O2,祝日!K3:S25,2,FALSE)</f>
        <v>6</v>
      </c>
      <c r="AS2" s="449" t="s">
        <v>466</v>
      </c>
    </row>
    <row r="3" spans="1:47" ht="15" customHeight="1" thickBot="1">
      <c r="A3" s="74"/>
      <c r="B3" s="455" t="s">
        <v>464</v>
      </c>
      <c r="C3" s="1291">
        <v>45688</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45505</v>
      </c>
      <c r="AQ3" s="228" t="s">
        <v>283</v>
      </c>
      <c r="AR3" s="804">
        <f>VLOOKUP($O$2,祝日!$K$3:$S$25,3,FALSE)</f>
        <v>600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45688</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①</v>
      </c>
      <c r="U7" s="852" t="str">
        <f>CONCATENATE(TEXT(AR9,"ggge年m月d日"),"から",TEXT(AT9,"ggge年m月d日"),"までの期間で、")</f>
        <v>令和6年12月1日から令和7年1月15日までの期間で、</v>
      </c>
      <c r="V7" s="831"/>
      <c r="W7" s="831"/>
      <c r="X7" s="831"/>
      <c r="Y7" s="844"/>
      <c r="Z7" s="845"/>
      <c r="AA7" s="846"/>
      <c r="AB7" s="1416"/>
      <c r="AC7" s="1416"/>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600時間以上</v>
      </c>
      <c r="P9" s="1960"/>
      <c r="Q9" s="1960"/>
      <c r="R9" s="1961"/>
      <c r="S9" s="74"/>
      <c r="T9" s="859" t="str">
        <f>IF(AR2=6,"②","")</f>
        <v>②</v>
      </c>
      <c r="U9" s="857" t="str">
        <f>IF(AR2=6,CONCATENATE(TEXT(AR10,"ggge年m月d日"),"から",TEXT(AT10,"ggge年m月d日"),"までの期間で、"),"")</f>
        <v>令和6年11月1日から令和6年12月15日までの期間で、</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45627</v>
      </c>
      <c r="AS9" s="752" t="s">
        <v>736</v>
      </c>
      <c r="AT9" s="830">
        <f>IF(MONTH($AO$3)=MONTH($AO$4),$AO$4-1,DATE(YEAR($AO$4),MONTH($AO$4),DAY(15)))</f>
        <v>45672</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1日以上設定すること。</v>
      </c>
      <c r="V10" s="80"/>
      <c r="W10" s="80"/>
      <c r="X10" s="76"/>
      <c r="Y10" s="74"/>
      <c r="Z10" s="76"/>
      <c r="AA10" s="847"/>
      <c r="AB10" s="1416"/>
      <c r="AC10" s="1416"/>
      <c r="AD10" s="76"/>
      <c r="AE10" s="74"/>
      <c r="AF10" s="1416"/>
      <c r="AG10" s="228"/>
      <c r="AH10" s="228"/>
      <c r="AI10" s="228"/>
      <c r="AK10" s="227"/>
      <c r="AN10" s="228"/>
      <c r="AQ10" s="228" t="s">
        <v>735</v>
      </c>
      <c r="AR10" s="830">
        <f>DATE(YEAR($AO$4),MONTH($AO$4)-2,DAY(1))</f>
        <v>45597</v>
      </c>
      <c r="AS10" s="752" t="s">
        <v>736</v>
      </c>
      <c r="AT10" s="830">
        <f>DATE(YEAR($AO$4),MONTH($AO$4)-1,DAY(15))</f>
        <v>45641</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24時間以上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1968"/>
      <c r="B12" s="1969"/>
      <c r="C12" s="1969"/>
      <c r="D12" s="1969"/>
      <c r="E12" s="1969"/>
      <c r="F12" s="1969"/>
      <c r="G12" s="1970"/>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8</v>
      </c>
      <c r="B16" s="1873"/>
      <c r="C16" s="1874"/>
      <c r="D16" s="756" t="s">
        <v>445</v>
      </c>
      <c r="E16" s="757" t="s">
        <v>447</v>
      </c>
      <c r="F16" s="758" t="s">
        <v>449</v>
      </c>
      <c r="G16" s="1872">
        <f>MONTH(G17)</f>
        <v>9</v>
      </c>
      <c r="H16" s="1873"/>
      <c r="I16" s="1874"/>
      <c r="J16" s="756" t="s">
        <v>444</v>
      </c>
      <c r="K16" s="756" t="s">
        <v>446</v>
      </c>
      <c r="L16" s="759" t="s">
        <v>448</v>
      </c>
      <c r="M16" s="1872">
        <f>MONTH(M17)</f>
        <v>10</v>
      </c>
      <c r="N16" s="1873"/>
      <c r="O16" s="1874"/>
      <c r="P16" s="756" t="s">
        <v>444</v>
      </c>
      <c r="Q16" s="756" t="s">
        <v>446</v>
      </c>
      <c r="R16" s="758" t="s">
        <v>448</v>
      </c>
      <c r="S16" s="1872">
        <f>MONTH(S17)</f>
        <v>11</v>
      </c>
      <c r="T16" s="1873"/>
      <c r="U16" s="1874"/>
      <c r="V16" s="756" t="s">
        <v>445</v>
      </c>
      <c r="W16" s="757" t="s">
        <v>447</v>
      </c>
      <c r="X16" s="758" t="s">
        <v>449</v>
      </c>
      <c r="Y16" s="1872">
        <f>MONTH(Y17)</f>
        <v>12</v>
      </c>
      <c r="Z16" s="1873"/>
      <c r="AA16" s="1874"/>
      <c r="AB16" s="756" t="s">
        <v>444</v>
      </c>
      <c r="AC16" s="756" t="s">
        <v>446</v>
      </c>
      <c r="AD16" s="759" t="s">
        <v>448</v>
      </c>
      <c r="AE16" s="1872">
        <f>MONTH(AE17)</f>
        <v>1</v>
      </c>
      <c r="AF16" s="1873"/>
      <c r="AG16" s="1874"/>
      <c r="AH16" s="756" t="s">
        <v>444</v>
      </c>
      <c r="AI16" s="756" t="s">
        <v>446</v>
      </c>
      <c r="AJ16" s="758" t="s">
        <v>448</v>
      </c>
      <c r="AL16" s="456" t="s">
        <v>459</v>
      </c>
      <c r="AM16" s="464" t="s">
        <v>468</v>
      </c>
      <c r="AO16" s="806"/>
      <c r="AP16" s="807"/>
    </row>
    <row r="17" spans="1:42" s="462" customFormat="1" ht="27" customHeight="1" thickTop="1" thickBot="1">
      <c r="A17" s="760">
        <f>AO3</f>
        <v>45505</v>
      </c>
      <c r="B17" s="764">
        <f t="shared" ref="B17:B47" si="0">WEEKDAY(A17)</f>
        <v>5</v>
      </c>
      <c r="C17" s="775" t="s">
        <v>688</v>
      </c>
      <c r="D17" s="782"/>
      <c r="E17" s="782"/>
      <c r="F17" s="783"/>
      <c r="G17" s="767">
        <f>DATE(YEAR($A$17),MONTH($A$17)+1,DAY($A$17))</f>
        <v>45536</v>
      </c>
      <c r="H17" s="764">
        <f t="shared" ref="H17:H47" si="1">WEEKDAY(G17)</f>
        <v>1</v>
      </c>
      <c r="I17" s="775"/>
      <c r="J17" s="776"/>
      <c r="K17" s="776"/>
      <c r="L17" s="777"/>
      <c r="M17" s="774">
        <f>DATE(YEAR($A$17),MONTH($A$17)+2,DAY($A$17))</f>
        <v>45566</v>
      </c>
      <c r="N17" s="780">
        <f t="shared" ref="N17:N42" si="2">WEEKDAY(M17)</f>
        <v>3</v>
      </c>
      <c r="O17" s="781"/>
      <c r="P17" s="782"/>
      <c r="Q17" s="782"/>
      <c r="R17" s="783"/>
      <c r="S17" s="1073">
        <f>DATE(YEAR($A$17),MONTH($A$17)+3,DAY($A$17))</f>
        <v>45597</v>
      </c>
      <c r="T17" s="1074">
        <f t="shared" ref="T17:T47" si="3">WEEKDAY(S17)</f>
        <v>6</v>
      </c>
      <c r="U17" s="775"/>
      <c r="V17" s="782"/>
      <c r="W17" s="782"/>
      <c r="X17" s="783"/>
      <c r="Y17" s="767">
        <f>DATE(YEAR($A$17),MONTH($A$17)+4,DAY($A$17))</f>
        <v>45627</v>
      </c>
      <c r="Z17" s="764">
        <f t="shared" ref="Z17:Z47" si="4">WEEKDAY(Y17)</f>
        <v>1</v>
      </c>
      <c r="AA17" s="775"/>
      <c r="AB17" s="776"/>
      <c r="AC17" s="776"/>
      <c r="AD17" s="777"/>
      <c r="AE17" s="774">
        <f>DATE(YEAR($A$17),MONTH($A$17)+5,DAY($A$17))</f>
        <v>45658</v>
      </c>
      <c r="AF17" s="780">
        <f t="shared" ref="AF17:AF42" si="5">WEEKDAY(AE17)</f>
        <v>4</v>
      </c>
      <c r="AG17" s="781"/>
      <c r="AH17" s="782"/>
      <c r="AI17" s="782"/>
      <c r="AJ17" s="783"/>
      <c r="AL17" s="695" t="str">
        <f>IF(OR($C$55&lt;$AR$4,$C$49&lt;$AR$7)=TRUE,"月1不","")</f>
        <v>月1不</v>
      </c>
      <c r="AO17" s="808"/>
      <c r="AP17" s="809"/>
    </row>
    <row r="18" spans="1:42" s="462" customFormat="1" ht="27" customHeight="1" thickBot="1">
      <c r="A18" s="697">
        <f>A17+1</f>
        <v>45506</v>
      </c>
      <c r="B18" s="765">
        <f t="shared" si="0"/>
        <v>6</v>
      </c>
      <c r="C18" s="768"/>
      <c r="D18" s="704"/>
      <c r="E18" s="704"/>
      <c r="F18" s="708"/>
      <c r="G18" s="696">
        <f>G17+1</f>
        <v>45537</v>
      </c>
      <c r="H18" s="766">
        <f t="shared" si="1"/>
        <v>2</v>
      </c>
      <c r="I18" s="770"/>
      <c r="J18" s="705"/>
      <c r="K18" s="705"/>
      <c r="L18" s="708"/>
      <c r="M18" s="700">
        <f t="shared" ref="M18:M47" si="6">M17+1</f>
        <v>45567</v>
      </c>
      <c r="N18" s="766">
        <f t="shared" si="2"/>
        <v>4</v>
      </c>
      <c r="O18" s="770"/>
      <c r="P18" s="705"/>
      <c r="Q18" s="705"/>
      <c r="R18" s="708"/>
      <c r="S18" s="1075">
        <f>S17+1</f>
        <v>45598</v>
      </c>
      <c r="T18" s="1076">
        <f t="shared" si="3"/>
        <v>7</v>
      </c>
      <c r="U18" s="768"/>
      <c r="V18" s="704"/>
      <c r="W18" s="704"/>
      <c r="X18" s="708"/>
      <c r="Y18" s="696">
        <f t="shared" ref="Y18:Y47" si="7">Y17+1</f>
        <v>45628</v>
      </c>
      <c r="Z18" s="766">
        <f t="shared" si="4"/>
        <v>2</v>
      </c>
      <c r="AA18" s="770"/>
      <c r="AB18" s="705"/>
      <c r="AC18" s="705"/>
      <c r="AD18" s="708"/>
      <c r="AE18" s="700">
        <f t="shared" ref="AE18:AE47" si="8">AE17+1</f>
        <v>45659</v>
      </c>
      <c r="AF18" s="766">
        <f t="shared" si="5"/>
        <v>5</v>
      </c>
      <c r="AG18" s="770"/>
      <c r="AH18" s="705"/>
      <c r="AI18" s="705"/>
      <c r="AJ18" s="708"/>
      <c r="AL18" s="695" t="str">
        <f>IF(OR($I$55&lt;$AR$4,$I$49&lt;$AR$7)=TRUE,"月2不","")</f>
        <v>月2不</v>
      </c>
      <c r="AO18" s="808"/>
      <c r="AP18" s="809"/>
    </row>
    <row r="19" spans="1:42" s="462" customFormat="1" ht="27" customHeight="1" thickBot="1">
      <c r="A19" s="761">
        <f t="shared" ref="A19:A47" si="9">A18+1</f>
        <v>45507</v>
      </c>
      <c r="B19" s="765">
        <f t="shared" si="0"/>
        <v>7</v>
      </c>
      <c r="C19" s="769"/>
      <c r="D19" s="705"/>
      <c r="E19" s="705"/>
      <c r="F19" s="708"/>
      <c r="G19" s="696">
        <f t="shared" ref="G19:G47" si="10">G18+1</f>
        <v>45538</v>
      </c>
      <c r="H19" s="766">
        <f t="shared" si="1"/>
        <v>3</v>
      </c>
      <c r="I19" s="770"/>
      <c r="J19" s="705"/>
      <c r="K19" s="705"/>
      <c r="L19" s="708"/>
      <c r="M19" s="700">
        <f t="shared" si="6"/>
        <v>45568</v>
      </c>
      <c r="N19" s="766">
        <f t="shared" si="2"/>
        <v>5</v>
      </c>
      <c r="O19" s="770"/>
      <c r="P19" s="705"/>
      <c r="Q19" s="705"/>
      <c r="R19" s="708"/>
      <c r="S19" s="1075">
        <f t="shared" ref="S19:S47" si="11">S18+1</f>
        <v>45599</v>
      </c>
      <c r="T19" s="1076">
        <f t="shared" si="3"/>
        <v>1</v>
      </c>
      <c r="U19" s="769"/>
      <c r="V19" s="705"/>
      <c r="W19" s="705"/>
      <c r="X19" s="708"/>
      <c r="Y19" s="696">
        <f t="shared" si="7"/>
        <v>45629</v>
      </c>
      <c r="Z19" s="766">
        <f t="shared" si="4"/>
        <v>3</v>
      </c>
      <c r="AA19" s="770"/>
      <c r="AB19" s="705"/>
      <c r="AC19" s="705"/>
      <c r="AD19" s="708"/>
      <c r="AE19" s="700">
        <f t="shared" si="8"/>
        <v>45660</v>
      </c>
      <c r="AF19" s="766">
        <f t="shared" si="5"/>
        <v>6</v>
      </c>
      <c r="AG19" s="770"/>
      <c r="AH19" s="705"/>
      <c r="AI19" s="705"/>
      <c r="AJ19" s="708"/>
      <c r="AL19" s="695" t="str">
        <f>IF(OR($O$55&lt;$AR$4,$O$49&lt;$AR$7)=TRUE,"月3不","")</f>
        <v>月3不</v>
      </c>
      <c r="AO19" s="808"/>
      <c r="AP19" s="809"/>
    </row>
    <row r="20" spans="1:42" s="462" customFormat="1" ht="27" customHeight="1" thickBot="1">
      <c r="A20" s="761">
        <f t="shared" si="9"/>
        <v>45508</v>
      </c>
      <c r="B20" s="765">
        <f t="shared" si="0"/>
        <v>1</v>
      </c>
      <c r="C20" s="769"/>
      <c r="D20" s="705"/>
      <c r="E20" s="705"/>
      <c r="F20" s="708"/>
      <c r="G20" s="696">
        <f t="shared" si="10"/>
        <v>45539</v>
      </c>
      <c r="H20" s="766">
        <f t="shared" si="1"/>
        <v>4</v>
      </c>
      <c r="I20" s="770"/>
      <c r="J20" s="705"/>
      <c r="K20" s="705"/>
      <c r="L20" s="708"/>
      <c r="M20" s="700">
        <f t="shared" si="6"/>
        <v>45569</v>
      </c>
      <c r="N20" s="766">
        <f t="shared" si="2"/>
        <v>6</v>
      </c>
      <c r="O20" s="770"/>
      <c r="P20" s="705"/>
      <c r="Q20" s="705"/>
      <c r="R20" s="708"/>
      <c r="S20" s="1075">
        <f t="shared" si="11"/>
        <v>45600</v>
      </c>
      <c r="T20" s="1076">
        <f t="shared" si="3"/>
        <v>2</v>
      </c>
      <c r="U20" s="769"/>
      <c r="V20" s="705"/>
      <c r="W20" s="705"/>
      <c r="X20" s="708"/>
      <c r="Y20" s="696">
        <f t="shared" si="7"/>
        <v>45630</v>
      </c>
      <c r="Z20" s="766">
        <f t="shared" si="4"/>
        <v>4</v>
      </c>
      <c r="AA20" s="770"/>
      <c r="AB20" s="705"/>
      <c r="AC20" s="705"/>
      <c r="AD20" s="708"/>
      <c r="AE20" s="700">
        <f t="shared" si="8"/>
        <v>45661</v>
      </c>
      <c r="AF20" s="766">
        <f t="shared" si="5"/>
        <v>7</v>
      </c>
      <c r="AG20" s="770"/>
      <c r="AH20" s="705"/>
      <c r="AI20" s="705"/>
      <c r="AJ20" s="708"/>
      <c r="AL20" s="695" t="str">
        <f>IF(AND(DATE(YEAR($A$17),MONTH($A$17)+3,DAY($A$17))&lt;$C$3,OR($U$55&lt;$AR$4,$U$49&lt;$AR$7)=TRUE),"月4不","")</f>
        <v>月4不</v>
      </c>
      <c r="AO20" s="808"/>
      <c r="AP20" s="809"/>
    </row>
    <row r="21" spans="1:42" s="462" customFormat="1" ht="27" customHeight="1" thickBot="1">
      <c r="A21" s="761">
        <f t="shared" si="9"/>
        <v>45509</v>
      </c>
      <c r="B21" s="765">
        <f t="shared" si="0"/>
        <v>2</v>
      </c>
      <c r="C21" s="769"/>
      <c r="D21" s="705"/>
      <c r="E21" s="705"/>
      <c r="F21" s="708"/>
      <c r="G21" s="696">
        <f t="shared" si="10"/>
        <v>45540</v>
      </c>
      <c r="H21" s="766">
        <f t="shared" si="1"/>
        <v>5</v>
      </c>
      <c r="I21" s="770"/>
      <c r="J21" s="705"/>
      <c r="K21" s="705"/>
      <c r="L21" s="708"/>
      <c r="M21" s="700">
        <f t="shared" si="6"/>
        <v>45570</v>
      </c>
      <c r="N21" s="766">
        <f t="shared" si="2"/>
        <v>7</v>
      </c>
      <c r="O21" s="770"/>
      <c r="P21" s="705"/>
      <c r="Q21" s="705"/>
      <c r="R21" s="708"/>
      <c r="S21" s="1075">
        <f t="shared" si="11"/>
        <v>45601</v>
      </c>
      <c r="T21" s="1076">
        <f t="shared" si="3"/>
        <v>3</v>
      </c>
      <c r="U21" s="769"/>
      <c r="V21" s="705"/>
      <c r="W21" s="705"/>
      <c r="X21" s="708"/>
      <c r="Y21" s="696">
        <f t="shared" si="7"/>
        <v>45631</v>
      </c>
      <c r="Z21" s="766">
        <f t="shared" si="4"/>
        <v>5</v>
      </c>
      <c r="AA21" s="770"/>
      <c r="AB21" s="705"/>
      <c r="AC21" s="705"/>
      <c r="AD21" s="708"/>
      <c r="AE21" s="700">
        <f t="shared" si="8"/>
        <v>45662</v>
      </c>
      <c r="AF21" s="766">
        <f t="shared" si="5"/>
        <v>1</v>
      </c>
      <c r="AG21" s="770"/>
      <c r="AH21" s="705"/>
      <c r="AI21" s="705"/>
      <c r="AJ21" s="708"/>
      <c r="AL21" s="695" t="str">
        <f>IF(AND(DATE(YEAR($A$17),MONTH($A$17)+4,DAY($A$17))&lt;$C$3,OR($AA$55&lt;$AR$4,$AA$49&lt;$AR$7)=TRUE),"月5不","")</f>
        <v>月5不</v>
      </c>
      <c r="AO21" s="808"/>
      <c r="AP21" s="809"/>
    </row>
    <row r="22" spans="1:42" s="462" customFormat="1" ht="27" customHeight="1" thickBot="1">
      <c r="A22" s="761">
        <f t="shared" si="9"/>
        <v>45510</v>
      </c>
      <c r="B22" s="765">
        <f t="shared" si="0"/>
        <v>3</v>
      </c>
      <c r="C22" s="769"/>
      <c r="D22" s="705"/>
      <c r="E22" s="705"/>
      <c r="F22" s="708"/>
      <c r="G22" s="696">
        <f t="shared" si="10"/>
        <v>45541</v>
      </c>
      <c r="H22" s="766">
        <f t="shared" si="1"/>
        <v>6</v>
      </c>
      <c r="I22" s="770"/>
      <c r="J22" s="705"/>
      <c r="K22" s="705"/>
      <c r="L22" s="708"/>
      <c r="M22" s="700">
        <f t="shared" si="6"/>
        <v>45571</v>
      </c>
      <c r="N22" s="766">
        <f t="shared" si="2"/>
        <v>1</v>
      </c>
      <c r="O22" s="770"/>
      <c r="P22" s="705"/>
      <c r="Q22" s="705"/>
      <c r="R22" s="708"/>
      <c r="S22" s="1075">
        <f t="shared" si="11"/>
        <v>45602</v>
      </c>
      <c r="T22" s="1076">
        <f t="shared" si="3"/>
        <v>4</v>
      </c>
      <c r="U22" s="769"/>
      <c r="V22" s="705"/>
      <c r="W22" s="705"/>
      <c r="X22" s="708"/>
      <c r="Y22" s="696">
        <f t="shared" si="7"/>
        <v>45632</v>
      </c>
      <c r="Z22" s="766">
        <f t="shared" si="4"/>
        <v>6</v>
      </c>
      <c r="AA22" s="770"/>
      <c r="AB22" s="705"/>
      <c r="AC22" s="705"/>
      <c r="AD22" s="708"/>
      <c r="AE22" s="700">
        <f t="shared" si="8"/>
        <v>45663</v>
      </c>
      <c r="AF22" s="766">
        <f t="shared" si="5"/>
        <v>2</v>
      </c>
      <c r="AG22" s="770"/>
      <c r="AH22" s="705"/>
      <c r="AI22" s="705"/>
      <c r="AJ22" s="708"/>
      <c r="AL22" s="698" t="str">
        <f>IF(AND(DATE(YEAR($A$17),MONTH($A$17)+5,DAY($A$17))&lt;$C$3,OR($AG$55&lt;$AR$4,$AG$49&lt;$AR$7)=TRUE),"月6不","")</f>
        <v>月6不</v>
      </c>
      <c r="AO22" s="808"/>
      <c r="AP22" s="809"/>
    </row>
    <row r="23" spans="1:42" s="462" customFormat="1" ht="27" customHeight="1" thickBot="1">
      <c r="A23" s="761">
        <f t="shared" si="9"/>
        <v>45511</v>
      </c>
      <c r="B23" s="765">
        <f t="shared" si="0"/>
        <v>4</v>
      </c>
      <c r="C23" s="770"/>
      <c r="D23" s="705"/>
      <c r="E23" s="705"/>
      <c r="F23" s="708"/>
      <c r="G23" s="696">
        <f t="shared" si="10"/>
        <v>45542</v>
      </c>
      <c r="H23" s="766">
        <f t="shared" si="1"/>
        <v>7</v>
      </c>
      <c r="I23" s="770"/>
      <c r="J23" s="705"/>
      <c r="K23" s="705"/>
      <c r="L23" s="708"/>
      <c r="M23" s="700">
        <f t="shared" si="6"/>
        <v>45572</v>
      </c>
      <c r="N23" s="766">
        <f t="shared" si="2"/>
        <v>2</v>
      </c>
      <c r="O23" s="770"/>
      <c r="P23" s="705"/>
      <c r="Q23" s="705"/>
      <c r="R23" s="708"/>
      <c r="S23" s="1075">
        <f t="shared" si="11"/>
        <v>45603</v>
      </c>
      <c r="T23" s="1076">
        <f t="shared" si="3"/>
        <v>5</v>
      </c>
      <c r="U23" s="769"/>
      <c r="V23" s="705"/>
      <c r="W23" s="705"/>
      <c r="X23" s="708"/>
      <c r="Y23" s="696">
        <f t="shared" si="7"/>
        <v>45633</v>
      </c>
      <c r="Z23" s="766">
        <f t="shared" si="4"/>
        <v>7</v>
      </c>
      <c r="AA23" s="770"/>
      <c r="AB23" s="705"/>
      <c r="AC23" s="705"/>
      <c r="AD23" s="708"/>
      <c r="AE23" s="700">
        <f t="shared" si="8"/>
        <v>45664</v>
      </c>
      <c r="AF23" s="766">
        <f t="shared" si="5"/>
        <v>3</v>
      </c>
      <c r="AG23" s="770"/>
      <c r="AH23" s="705"/>
      <c r="AI23" s="705"/>
      <c r="AJ23" s="708"/>
      <c r="AL23" s="695" t="str">
        <f>IF($C$55&gt;$AT$4,"月1超","")</f>
        <v/>
      </c>
      <c r="AO23" s="808"/>
      <c r="AP23" s="809"/>
    </row>
    <row r="24" spans="1:42" s="462" customFormat="1" ht="27" customHeight="1" thickBot="1">
      <c r="A24" s="761">
        <f t="shared" si="9"/>
        <v>45512</v>
      </c>
      <c r="B24" s="765">
        <f t="shared" si="0"/>
        <v>5</v>
      </c>
      <c r="C24" s="769"/>
      <c r="D24" s="705"/>
      <c r="E24" s="705"/>
      <c r="F24" s="708"/>
      <c r="G24" s="700">
        <f t="shared" si="10"/>
        <v>45543</v>
      </c>
      <c r="H24" s="765">
        <f t="shared" si="1"/>
        <v>1</v>
      </c>
      <c r="I24" s="769"/>
      <c r="J24" s="705"/>
      <c r="K24" s="705"/>
      <c r="L24" s="708"/>
      <c r="M24" s="700">
        <f t="shared" si="6"/>
        <v>45573</v>
      </c>
      <c r="N24" s="766">
        <f t="shared" si="2"/>
        <v>3</v>
      </c>
      <c r="O24" s="770"/>
      <c r="P24" s="705"/>
      <c r="Q24" s="705"/>
      <c r="R24" s="708"/>
      <c r="S24" s="1075">
        <f t="shared" si="11"/>
        <v>45604</v>
      </c>
      <c r="T24" s="1076">
        <f t="shared" si="3"/>
        <v>6</v>
      </c>
      <c r="U24" s="770"/>
      <c r="V24" s="705"/>
      <c r="W24" s="705"/>
      <c r="X24" s="708"/>
      <c r="Y24" s="700">
        <f t="shared" si="7"/>
        <v>45634</v>
      </c>
      <c r="Z24" s="765">
        <f t="shared" si="4"/>
        <v>1</v>
      </c>
      <c r="AA24" s="769"/>
      <c r="AB24" s="705"/>
      <c r="AC24" s="705"/>
      <c r="AD24" s="708"/>
      <c r="AE24" s="700">
        <f t="shared" si="8"/>
        <v>45665</v>
      </c>
      <c r="AF24" s="766">
        <f t="shared" si="5"/>
        <v>4</v>
      </c>
      <c r="AG24" s="770"/>
      <c r="AH24" s="705"/>
      <c r="AI24" s="705"/>
      <c r="AJ24" s="708"/>
      <c r="AL24" s="695" t="str">
        <f>IF($I$55&gt;$AT$4,"月2超","")</f>
        <v/>
      </c>
      <c r="AO24" s="808"/>
      <c r="AP24" s="809"/>
    </row>
    <row r="25" spans="1:42" s="462" customFormat="1" ht="27" customHeight="1" thickBot="1">
      <c r="A25" s="761">
        <f t="shared" si="9"/>
        <v>45513</v>
      </c>
      <c r="B25" s="765">
        <f t="shared" si="0"/>
        <v>6</v>
      </c>
      <c r="C25" s="769"/>
      <c r="D25" s="705"/>
      <c r="E25" s="705"/>
      <c r="F25" s="708"/>
      <c r="G25" s="696">
        <f t="shared" si="10"/>
        <v>45544</v>
      </c>
      <c r="H25" s="766">
        <f t="shared" si="1"/>
        <v>2</v>
      </c>
      <c r="I25" s="768"/>
      <c r="J25" s="704"/>
      <c r="K25" s="704"/>
      <c r="L25" s="709"/>
      <c r="M25" s="700">
        <f t="shared" si="6"/>
        <v>45574</v>
      </c>
      <c r="N25" s="765">
        <f t="shared" si="2"/>
        <v>4</v>
      </c>
      <c r="O25" s="770"/>
      <c r="P25" s="705"/>
      <c r="Q25" s="705"/>
      <c r="R25" s="708"/>
      <c r="S25" s="1075">
        <f t="shared" si="11"/>
        <v>45605</v>
      </c>
      <c r="T25" s="1076">
        <f t="shared" si="3"/>
        <v>7</v>
      </c>
      <c r="U25" s="769"/>
      <c r="V25" s="705"/>
      <c r="W25" s="705"/>
      <c r="X25" s="708"/>
      <c r="Y25" s="696">
        <f t="shared" si="7"/>
        <v>45635</v>
      </c>
      <c r="Z25" s="766">
        <f t="shared" si="4"/>
        <v>2</v>
      </c>
      <c r="AA25" s="768"/>
      <c r="AB25" s="704"/>
      <c r="AC25" s="704"/>
      <c r="AD25" s="709"/>
      <c r="AE25" s="700">
        <f t="shared" si="8"/>
        <v>45666</v>
      </c>
      <c r="AF25" s="765">
        <f t="shared" si="5"/>
        <v>5</v>
      </c>
      <c r="AG25" s="770"/>
      <c r="AH25" s="705"/>
      <c r="AI25" s="705"/>
      <c r="AJ25" s="708"/>
      <c r="AL25" s="695" t="str">
        <f>IF($O$55&gt;$AT$4,"月3超","")</f>
        <v/>
      </c>
      <c r="AO25" s="808"/>
      <c r="AP25" s="809"/>
    </row>
    <row r="26" spans="1:42" s="462" customFormat="1" ht="27" customHeight="1" thickBot="1">
      <c r="A26" s="761">
        <f t="shared" si="9"/>
        <v>45514</v>
      </c>
      <c r="B26" s="765">
        <f t="shared" si="0"/>
        <v>7</v>
      </c>
      <c r="C26" s="769"/>
      <c r="D26" s="705"/>
      <c r="E26" s="705"/>
      <c r="F26" s="708"/>
      <c r="G26" s="696">
        <f t="shared" si="10"/>
        <v>45545</v>
      </c>
      <c r="H26" s="766">
        <f t="shared" si="1"/>
        <v>3</v>
      </c>
      <c r="I26" s="770"/>
      <c r="J26" s="705"/>
      <c r="K26" s="705"/>
      <c r="L26" s="708"/>
      <c r="M26" s="696">
        <f t="shared" si="6"/>
        <v>45575</v>
      </c>
      <c r="N26" s="766">
        <f t="shared" si="2"/>
        <v>5</v>
      </c>
      <c r="O26" s="768"/>
      <c r="P26" s="704"/>
      <c r="Q26" s="704"/>
      <c r="R26" s="709"/>
      <c r="S26" s="1075">
        <f t="shared" si="11"/>
        <v>45606</v>
      </c>
      <c r="T26" s="1076">
        <f t="shared" si="3"/>
        <v>1</v>
      </c>
      <c r="U26" s="769"/>
      <c r="V26" s="705"/>
      <c r="W26" s="705"/>
      <c r="X26" s="708"/>
      <c r="Y26" s="696">
        <f t="shared" si="7"/>
        <v>45636</v>
      </c>
      <c r="Z26" s="766">
        <f t="shared" si="4"/>
        <v>3</v>
      </c>
      <c r="AA26" s="770"/>
      <c r="AB26" s="705"/>
      <c r="AC26" s="705"/>
      <c r="AD26" s="708"/>
      <c r="AE26" s="696">
        <f t="shared" si="8"/>
        <v>45667</v>
      </c>
      <c r="AF26" s="766">
        <f t="shared" si="5"/>
        <v>6</v>
      </c>
      <c r="AG26" s="768"/>
      <c r="AH26" s="704"/>
      <c r="AI26" s="704"/>
      <c r="AJ26" s="709"/>
      <c r="AL26" s="695" t="str">
        <f>IF($U$55&gt;$AT$4,"月4超","")</f>
        <v/>
      </c>
      <c r="AO26" s="808"/>
      <c r="AP26" s="809"/>
    </row>
    <row r="27" spans="1:42" s="462" customFormat="1" ht="27" customHeight="1" thickBot="1">
      <c r="A27" s="762">
        <f t="shared" si="9"/>
        <v>45515</v>
      </c>
      <c r="B27" s="766">
        <f t="shared" si="0"/>
        <v>1</v>
      </c>
      <c r="C27" s="771"/>
      <c r="D27" s="704"/>
      <c r="E27" s="704"/>
      <c r="F27" s="709"/>
      <c r="G27" s="696">
        <f t="shared" si="10"/>
        <v>45546</v>
      </c>
      <c r="H27" s="766">
        <f t="shared" si="1"/>
        <v>4</v>
      </c>
      <c r="I27" s="770"/>
      <c r="J27" s="705"/>
      <c r="K27" s="705"/>
      <c r="L27" s="708"/>
      <c r="M27" s="696">
        <f t="shared" si="6"/>
        <v>45576</v>
      </c>
      <c r="N27" s="766">
        <f t="shared" si="2"/>
        <v>6</v>
      </c>
      <c r="O27" s="768"/>
      <c r="P27" s="704"/>
      <c r="Q27" s="704"/>
      <c r="R27" s="709"/>
      <c r="S27" s="1077">
        <f t="shared" si="11"/>
        <v>45607</v>
      </c>
      <c r="T27" s="1078">
        <f t="shared" si="3"/>
        <v>2</v>
      </c>
      <c r="U27" s="771"/>
      <c r="V27" s="704"/>
      <c r="W27" s="704"/>
      <c r="X27" s="709"/>
      <c r="Y27" s="696">
        <f t="shared" si="7"/>
        <v>45637</v>
      </c>
      <c r="Z27" s="766">
        <f t="shared" si="4"/>
        <v>4</v>
      </c>
      <c r="AA27" s="770"/>
      <c r="AB27" s="705"/>
      <c r="AC27" s="705"/>
      <c r="AD27" s="708"/>
      <c r="AE27" s="696">
        <f t="shared" si="8"/>
        <v>45668</v>
      </c>
      <c r="AF27" s="766">
        <f t="shared" si="5"/>
        <v>7</v>
      </c>
      <c r="AG27" s="768"/>
      <c r="AH27" s="704"/>
      <c r="AI27" s="704"/>
      <c r="AJ27" s="709"/>
      <c r="AL27" s="695" t="str">
        <f>IF($AA$55&gt;$AT$4,"月5超","")</f>
        <v/>
      </c>
      <c r="AO27" s="808"/>
      <c r="AP27" s="809"/>
    </row>
    <row r="28" spans="1:42" s="462" customFormat="1" ht="27" customHeight="1" thickBot="1">
      <c r="A28" s="761">
        <f t="shared" si="9"/>
        <v>45516</v>
      </c>
      <c r="B28" s="765">
        <f t="shared" si="0"/>
        <v>2</v>
      </c>
      <c r="C28" s="768"/>
      <c r="D28" s="704"/>
      <c r="E28" s="704"/>
      <c r="F28" s="709"/>
      <c r="G28" s="696">
        <f t="shared" si="10"/>
        <v>45547</v>
      </c>
      <c r="H28" s="766">
        <f t="shared" si="1"/>
        <v>5</v>
      </c>
      <c r="I28" s="770"/>
      <c r="J28" s="705"/>
      <c r="K28" s="705"/>
      <c r="L28" s="708"/>
      <c r="M28" s="700">
        <f t="shared" si="6"/>
        <v>45577</v>
      </c>
      <c r="N28" s="766">
        <f t="shared" si="2"/>
        <v>7</v>
      </c>
      <c r="O28" s="768"/>
      <c r="P28" s="705"/>
      <c r="Q28" s="705"/>
      <c r="R28" s="708"/>
      <c r="S28" s="1075">
        <f t="shared" si="11"/>
        <v>45608</v>
      </c>
      <c r="T28" s="1076">
        <f t="shared" si="3"/>
        <v>3</v>
      </c>
      <c r="U28" s="768"/>
      <c r="V28" s="704"/>
      <c r="W28" s="704"/>
      <c r="X28" s="709"/>
      <c r="Y28" s="696">
        <f t="shared" si="7"/>
        <v>45638</v>
      </c>
      <c r="Z28" s="766">
        <f t="shared" si="4"/>
        <v>5</v>
      </c>
      <c r="AA28" s="770"/>
      <c r="AB28" s="705"/>
      <c r="AC28" s="705"/>
      <c r="AD28" s="708"/>
      <c r="AE28" s="700">
        <f t="shared" si="8"/>
        <v>45669</v>
      </c>
      <c r="AF28" s="766">
        <f t="shared" si="5"/>
        <v>1</v>
      </c>
      <c r="AG28" s="770"/>
      <c r="AH28" s="705"/>
      <c r="AI28" s="705"/>
      <c r="AJ28" s="708"/>
      <c r="AL28" s="698" t="str">
        <f>IF($AG$55&gt;$AT$4,"月6超","")</f>
        <v/>
      </c>
      <c r="AO28" s="808"/>
      <c r="AP28" s="809"/>
    </row>
    <row r="29" spans="1:42" s="462" customFormat="1" ht="27" customHeight="1" thickBot="1">
      <c r="A29" s="761">
        <f t="shared" si="9"/>
        <v>45517</v>
      </c>
      <c r="B29" s="765">
        <f t="shared" si="0"/>
        <v>3</v>
      </c>
      <c r="C29" s="769"/>
      <c r="D29" s="705"/>
      <c r="E29" s="705"/>
      <c r="F29" s="708"/>
      <c r="G29" s="696">
        <f t="shared" si="10"/>
        <v>45548</v>
      </c>
      <c r="H29" s="766">
        <f t="shared" si="1"/>
        <v>6</v>
      </c>
      <c r="I29" s="770"/>
      <c r="J29" s="705"/>
      <c r="K29" s="705"/>
      <c r="L29" s="708"/>
      <c r="M29" s="700">
        <f t="shared" si="6"/>
        <v>45578</v>
      </c>
      <c r="N29" s="766">
        <f t="shared" si="2"/>
        <v>1</v>
      </c>
      <c r="O29" s="770"/>
      <c r="P29" s="705"/>
      <c r="Q29" s="705"/>
      <c r="R29" s="708"/>
      <c r="S29" s="1075">
        <f t="shared" si="11"/>
        <v>45609</v>
      </c>
      <c r="T29" s="1076">
        <f t="shared" si="3"/>
        <v>4</v>
      </c>
      <c r="U29" s="769"/>
      <c r="V29" s="705"/>
      <c r="W29" s="705"/>
      <c r="X29" s="708"/>
      <c r="Y29" s="696">
        <f t="shared" si="7"/>
        <v>45639</v>
      </c>
      <c r="Z29" s="766">
        <f t="shared" si="4"/>
        <v>6</v>
      </c>
      <c r="AA29" s="770"/>
      <c r="AB29" s="705"/>
      <c r="AC29" s="705"/>
      <c r="AD29" s="708"/>
      <c r="AE29" s="700">
        <f t="shared" si="8"/>
        <v>45670</v>
      </c>
      <c r="AF29" s="766">
        <f t="shared" si="5"/>
        <v>2</v>
      </c>
      <c r="AG29" s="770"/>
      <c r="AH29" s="705"/>
      <c r="AI29" s="705"/>
      <c r="AJ29" s="708"/>
      <c r="AL29" s="699"/>
      <c r="AO29" s="808"/>
      <c r="AP29" s="809"/>
    </row>
    <row r="30" spans="1:42" s="462" customFormat="1" ht="27" customHeight="1" thickBot="1">
      <c r="A30" s="761">
        <f t="shared" si="9"/>
        <v>45518</v>
      </c>
      <c r="B30" s="765">
        <f t="shared" si="0"/>
        <v>4</v>
      </c>
      <c r="C30" s="769"/>
      <c r="D30" s="705"/>
      <c r="E30" s="705"/>
      <c r="F30" s="708"/>
      <c r="G30" s="696">
        <f t="shared" si="10"/>
        <v>45549</v>
      </c>
      <c r="H30" s="766">
        <f t="shared" si="1"/>
        <v>7</v>
      </c>
      <c r="I30" s="770"/>
      <c r="J30" s="705"/>
      <c r="K30" s="705"/>
      <c r="L30" s="708"/>
      <c r="M30" s="700">
        <f t="shared" si="6"/>
        <v>45579</v>
      </c>
      <c r="N30" s="766">
        <f t="shared" si="2"/>
        <v>2</v>
      </c>
      <c r="O30" s="770"/>
      <c r="P30" s="705"/>
      <c r="Q30" s="705"/>
      <c r="R30" s="708"/>
      <c r="S30" s="1075">
        <f t="shared" si="11"/>
        <v>45610</v>
      </c>
      <c r="T30" s="1076">
        <f t="shared" si="3"/>
        <v>5</v>
      </c>
      <c r="U30" s="769"/>
      <c r="V30" s="705"/>
      <c r="W30" s="705"/>
      <c r="X30" s="708"/>
      <c r="Y30" s="696">
        <f t="shared" si="7"/>
        <v>45640</v>
      </c>
      <c r="Z30" s="766">
        <f t="shared" si="4"/>
        <v>7</v>
      </c>
      <c r="AA30" s="770"/>
      <c r="AB30" s="705"/>
      <c r="AC30" s="705"/>
      <c r="AD30" s="708"/>
      <c r="AE30" s="700">
        <f t="shared" si="8"/>
        <v>45671</v>
      </c>
      <c r="AF30" s="766">
        <f t="shared" si="5"/>
        <v>3</v>
      </c>
      <c r="AG30" s="770"/>
      <c r="AH30" s="705"/>
      <c r="AI30" s="705"/>
      <c r="AJ30" s="708"/>
      <c r="AL30" s="698" t="str">
        <f>IF(J8&lt;&gt;M8,"総不一","")</f>
        <v/>
      </c>
      <c r="AO30" s="808"/>
      <c r="AP30" s="809"/>
    </row>
    <row r="31" spans="1:42" s="462" customFormat="1" ht="27" customHeight="1" thickBot="1">
      <c r="A31" s="761">
        <f t="shared" si="9"/>
        <v>45519</v>
      </c>
      <c r="B31" s="765">
        <f t="shared" si="0"/>
        <v>5</v>
      </c>
      <c r="C31" s="769"/>
      <c r="D31" s="705"/>
      <c r="E31" s="705"/>
      <c r="F31" s="708"/>
      <c r="G31" s="696">
        <f t="shared" si="10"/>
        <v>45550</v>
      </c>
      <c r="H31" s="766">
        <f t="shared" si="1"/>
        <v>1</v>
      </c>
      <c r="I31" s="770"/>
      <c r="J31" s="705"/>
      <c r="K31" s="705"/>
      <c r="L31" s="708"/>
      <c r="M31" s="700">
        <f t="shared" si="6"/>
        <v>45580</v>
      </c>
      <c r="N31" s="766">
        <f t="shared" si="2"/>
        <v>3</v>
      </c>
      <c r="O31" s="768"/>
      <c r="P31" s="705"/>
      <c r="Q31" s="705"/>
      <c r="R31" s="708"/>
      <c r="S31" s="1075">
        <f t="shared" si="11"/>
        <v>45611</v>
      </c>
      <c r="T31" s="1076">
        <f t="shared" si="3"/>
        <v>6</v>
      </c>
      <c r="U31" s="769"/>
      <c r="V31" s="705"/>
      <c r="W31" s="705"/>
      <c r="X31" s="708"/>
      <c r="Y31" s="696">
        <f t="shared" si="7"/>
        <v>45641</v>
      </c>
      <c r="Z31" s="766">
        <f t="shared" si="4"/>
        <v>1</v>
      </c>
      <c r="AA31" s="770"/>
      <c r="AB31" s="705"/>
      <c r="AC31" s="705"/>
      <c r="AD31" s="708"/>
      <c r="AE31" s="700">
        <f t="shared" si="8"/>
        <v>45672</v>
      </c>
      <c r="AF31" s="766">
        <f t="shared" si="5"/>
        <v>4</v>
      </c>
      <c r="AG31" s="770"/>
      <c r="AH31" s="705"/>
      <c r="AI31" s="705"/>
      <c r="AJ31" s="708"/>
      <c r="AL31" s="698" t="str">
        <f>IF(J9&lt;&gt;M9,"学不一","")</f>
        <v/>
      </c>
      <c r="AO31" s="808"/>
      <c r="AP31" s="809"/>
    </row>
    <row r="32" spans="1:42" s="462" customFormat="1" ht="27" customHeight="1" thickBot="1">
      <c r="A32" s="761">
        <f t="shared" si="9"/>
        <v>45520</v>
      </c>
      <c r="B32" s="765">
        <f t="shared" si="0"/>
        <v>6</v>
      </c>
      <c r="C32" s="769"/>
      <c r="D32" s="705"/>
      <c r="E32" s="705"/>
      <c r="F32" s="708"/>
      <c r="G32" s="696">
        <f t="shared" si="10"/>
        <v>45551</v>
      </c>
      <c r="H32" s="766">
        <f t="shared" si="1"/>
        <v>2</v>
      </c>
      <c r="I32" s="770"/>
      <c r="J32" s="705"/>
      <c r="K32" s="705"/>
      <c r="L32" s="708"/>
      <c r="M32" s="700">
        <f t="shared" si="6"/>
        <v>45581</v>
      </c>
      <c r="N32" s="766">
        <f t="shared" si="2"/>
        <v>4</v>
      </c>
      <c r="O32" s="768"/>
      <c r="P32" s="705"/>
      <c r="Q32" s="705"/>
      <c r="R32" s="708"/>
      <c r="S32" s="1075">
        <f t="shared" si="11"/>
        <v>45612</v>
      </c>
      <c r="T32" s="1076">
        <f t="shared" si="3"/>
        <v>7</v>
      </c>
      <c r="U32" s="769"/>
      <c r="V32" s="705"/>
      <c r="W32" s="705"/>
      <c r="X32" s="708"/>
      <c r="Y32" s="696">
        <f t="shared" si="7"/>
        <v>45642</v>
      </c>
      <c r="Z32" s="766">
        <f t="shared" si="4"/>
        <v>2</v>
      </c>
      <c r="AA32" s="770"/>
      <c r="AB32" s="705"/>
      <c r="AC32" s="705"/>
      <c r="AD32" s="708"/>
      <c r="AE32" s="700">
        <f t="shared" si="8"/>
        <v>45673</v>
      </c>
      <c r="AF32" s="766">
        <f t="shared" si="5"/>
        <v>5</v>
      </c>
      <c r="AG32" s="770"/>
      <c r="AH32" s="705"/>
      <c r="AI32" s="705"/>
      <c r="AJ32" s="708"/>
      <c r="AL32" s="698" t="str">
        <f>IF(J10&lt;&gt;M10,"実不一","")</f>
        <v/>
      </c>
      <c r="AO32" s="808"/>
      <c r="AP32" s="809"/>
    </row>
    <row r="33" spans="1:42" s="462" customFormat="1" ht="27" customHeight="1" thickBot="1">
      <c r="A33" s="761">
        <f t="shared" si="9"/>
        <v>45521</v>
      </c>
      <c r="B33" s="765">
        <f t="shared" si="0"/>
        <v>7</v>
      </c>
      <c r="C33" s="769"/>
      <c r="D33" s="705"/>
      <c r="E33" s="705"/>
      <c r="F33" s="708"/>
      <c r="G33" s="696">
        <f t="shared" si="10"/>
        <v>45552</v>
      </c>
      <c r="H33" s="766">
        <f t="shared" si="1"/>
        <v>3</v>
      </c>
      <c r="I33" s="770"/>
      <c r="J33" s="705"/>
      <c r="K33" s="705"/>
      <c r="L33" s="708"/>
      <c r="M33" s="700">
        <f t="shared" si="6"/>
        <v>45582</v>
      </c>
      <c r="N33" s="766">
        <f t="shared" si="2"/>
        <v>5</v>
      </c>
      <c r="O33" s="770"/>
      <c r="P33" s="705"/>
      <c r="Q33" s="705"/>
      <c r="R33" s="708"/>
      <c r="S33" s="1075">
        <f t="shared" si="11"/>
        <v>45613</v>
      </c>
      <c r="T33" s="1076">
        <f t="shared" si="3"/>
        <v>1</v>
      </c>
      <c r="U33" s="769"/>
      <c r="V33" s="705"/>
      <c r="W33" s="705"/>
      <c r="X33" s="708"/>
      <c r="Y33" s="696">
        <f t="shared" si="7"/>
        <v>45643</v>
      </c>
      <c r="Z33" s="766">
        <f t="shared" si="4"/>
        <v>3</v>
      </c>
      <c r="AA33" s="770"/>
      <c r="AB33" s="705"/>
      <c r="AC33" s="705"/>
      <c r="AD33" s="708"/>
      <c r="AE33" s="700">
        <f t="shared" si="8"/>
        <v>45674</v>
      </c>
      <c r="AF33" s="766">
        <f t="shared" si="5"/>
        <v>6</v>
      </c>
      <c r="AG33" s="770"/>
      <c r="AH33" s="705"/>
      <c r="AI33" s="705"/>
      <c r="AJ33" s="708"/>
      <c r="AL33" s="698" t="str">
        <f>IF(J11&lt;&gt;M11,"就不一","")</f>
        <v/>
      </c>
      <c r="AO33" s="808"/>
      <c r="AP33" s="809"/>
    </row>
    <row r="34" spans="1:42" s="462" customFormat="1" ht="27" customHeight="1" thickBot="1">
      <c r="A34" s="761">
        <f t="shared" si="9"/>
        <v>45522</v>
      </c>
      <c r="B34" s="765">
        <f t="shared" si="0"/>
        <v>1</v>
      </c>
      <c r="C34" s="769"/>
      <c r="D34" s="705"/>
      <c r="E34" s="705"/>
      <c r="F34" s="708"/>
      <c r="G34" s="696">
        <f t="shared" si="10"/>
        <v>45553</v>
      </c>
      <c r="H34" s="766">
        <f t="shared" si="1"/>
        <v>4</v>
      </c>
      <c r="I34" s="770"/>
      <c r="J34" s="705"/>
      <c r="K34" s="705"/>
      <c r="L34" s="708"/>
      <c r="M34" s="700">
        <f t="shared" si="6"/>
        <v>45583</v>
      </c>
      <c r="N34" s="765">
        <f t="shared" si="2"/>
        <v>6</v>
      </c>
      <c r="O34" s="768"/>
      <c r="P34" s="705"/>
      <c r="Q34" s="705"/>
      <c r="R34" s="708"/>
      <c r="S34" s="1075">
        <f t="shared" si="11"/>
        <v>45614</v>
      </c>
      <c r="T34" s="1076">
        <f t="shared" si="3"/>
        <v>2</v>
      </c>
      <c r="U34" s="769"/>
      <c r="V34" s="705"/>
      <c r="W34" s="705"/>
      <c r="X34" s="708"/>
      <c r="Y34" s="696">
        <f t="shared" si="7"/>
        <v>45644</v>
      </c>
      <c r="Z34" s="766">
        <f t="shared" si="4"/>
        <v>4</v>
      </c>
      <c r="AA34" s="770"/>
      <c r="AB34" s="705"/>
      <c r="AC34" s="705"/>
      <c r="AD34" s="708"/>
      <c r="AE34" s="700">
        <f t="shared" si="8"/>
        <v>45675</v>
      </c>
      <c r="AF34" s="765">
        <f t="shared" si="5"/>
        <v>7</v>
      </c>
      <c r="AG34" s="769"/>
      <c r="AH34" s="705"/>
      <c r="AI34" s="705"/>
      <c r="AJ34" s="708"/>
      <c r="AL34" s="699"/>
      <c r="AO34" s="808"/>
      <c r="AP34" s="809"/>
    </row>
    <row r="35" spans="1:42" s="462" customFormat="1" ht="27" customHeight="1" thickBot="1">
      <c r="A35" s="761">
        <f t="shared" si="9"/>
        <v>45523</v>
      </c>
      <c r="B35" s="765">
        <f t="shared" si="0"/>
        <v>2</v>
      </c>
      <c r="C35" s="768"/>
      <c r="D35" s="704"/>
      <c r="E35" s="704"/>
      <c r="F35" s="709"/>
      <c r="G35" s="696">
        <f t="shared" si="10"/>
        <v>45554</v>
      </c>
      <c r="H35" s="766">
        <f t="shared" si="1"/>
        <v>5</v>
      </c>
      <c r="I35" s="768"/>
      <c r="J35" s="704"/>
      <c r="K35" s="704"/>
      <c r="L35" s="709"/>
      <c r="M35" s="700">
        <f t="shared" si="6"/>
        <v>45584</v>
      </c>
      <c r="N35" s="766">
        <f t="shared" si="2"/>
        <v>7</v>
      </c>
      <c r="O35" s="768"/>
      <c r="P35" s="705"/>
      <c r="Q35" s="705"/>
      <c r="R35" s="708"/>
      <c r="S35" s="1075">
        <f t="shared" si="11"/>
        <v>45615</v>
      </c>
      <c r="T35" s="1076">
        <f t="shared" si="3"/>
        <v>3</v>
      </c>
      <c r="U35" s="768"/>
      <c r="V35" s="704"/>
      <c r="W35" s="704"/>
      <c r="X35" s="709"/>
      <c r="Y35" s="696">
        <f t="shared" si="7"/>
        <v>45645</v>
      </c>
      <c r="Z35" s="766">
        <f t="shared" si="4"/>
        <v>5</v>
      </c>
      <c r="AA35" s="768"/>
      <c r="AB35" s="704"/>
      <c r="AC35" s="704"/>
      <c r="AD35" s="709"/>
      <c r="AE35" s="700">
        <f t="shared" si="8"/>
        <v>45676</v>
      </c>
      <c r="AF35" s="766">
        <f t="shared" si="5"/>
        <v>1</v>
      </c>
      <c r="AG35" s="770"/>
      <c r="AH35" s="705"/>
      <c r="AI35" s="705"/>
      <c r="AJ35" s="708"/>
      <c r="AL35" s="698" t="str">
        <f>IF(($M$9+$M$10)&lt;$AR$3,"実訓不","")</f>
        <v>実訓不</v>
      </c>
      <c r="AO35" s="808"/>
      <c r="AP35" s="809"/>
    </row>
    <row r="36" spans="1:42" s="462" customFormat="1" ht="27" customHeight="1" thickBot="1">
      <c r="A36" s="761">
        <f t="shared" si="9"/>
        <v>45524</v>
      </c>
      <c r="B36" s="765">
        <f t="shared" si="0"/>
        <v>3</v>
      </c>
      <c r="C36" s="769"/>
      <c r="D36" s="705"/>
      <c r="E36" s="705"/>
      <c r="F36" s="708"/>
      <c r="G36" s="700">
        <f t="shared" si="10"/>
        <v>45555</v>
      </c>
      <c r="H36" s="765">
        <f t="shared" si="1"/>
        <v>6</v>
      </c>
      <c r="I36" s="769"/>
      <c r="J36" s="705"/>
      <c r="K36" s="705"/>
      <c r="L36" s="708"/>
      <c r="M36" s="700">
        <f t="shared" si="6"/>
        <v>45585</v>
      </c>
      <c r="N36" s="766">
        <f t="shared" si="2"/>
        <v>1</v>
      </c>
      <c r="O36" s="770"/>
      <c r="P36" s="705"/>
      <c r="Q36" s="705"/>
      <c r="R36" s="708"/>
      <c r="S36" s="1075">
        <f t="shared" si="11"/>
        <v>45616</v>
      </c>
      <c r="T36" s="1076">
        <f t="shared" si="3"/>
        <v>4</v>
      </c>
      <c r="U36" s="769"/>
      <c r="V36" s="705"/>
      <c r="W36" s="705"/>
      <c r="X36" s="708"/>
      <c r="Y36" s="700">
        <f t="shared" si="7"/>
        <v>45646</v>
      </c>
      <c r="Z36" s="765">
        <f t="shared" si="4"/>
        <v>6</v>
      </c>
      <c r="AA36" s="769"/>
      <c r="AB36" s="705"/>
      <c r="AC36" s="705"/>
      <c r="AD36" s="708"/>
      <c r="AE36" s="700">
        <f t="shared" si="8"/>
        <v>45677</v>
      </c>
      <c r="AF36" s="766">
        <f t="shared" si="5"/>
        <v>2</v>
      </c>
      <c r="AG36" s="770"/>
      <c r="AH36" s="705"/>
      <c r="AI36" s="705"/>
      <c r="AJ36" s="708"/>
      <c r="AL36" s="698" t="str">
        <f>IF(($M$9+$M$10)&gt;$AT$3,"実訓超","")</f>
        <v/>
      </c>
      <c r="AO36" s="808"/>
      <c r="AP36" s="809"/>
    </row>
    <row r="37" spans="1:42" s="462" customFormat="1" ht="27" customHeight="1" thickBot="1">
      <c r="A37" s="761">
        <f t="shared" si="9"/>
        <v>45525</v>
      </c>
      <c r="B37" s="765">
        <f t="shared" si="0"/>
        <v>4</v>
      </c>
      <c r="C37" s="769"/>
      <c r="D37" s="705"/>
      <c r="E37" s="705"/>
      <c r="F37" s="708"/>
      <c r="G37" s="696">
        <f t="shared" si="10"/>
        <v>45556</v>
      </c>
      <c r="H37" s="766">
        <f t="shared" si="1"/>
        <v>7</v>
      </c>
      <c r="I37" s="768"/>
      <c r="J37" s="704"/>
      <c r="K37" s="704"/>
      <c r="L37" s="709"/>
      <c r="M37" s="700">
        <f t="shared" si="6"/>
        <v>45586</v>
      </c>
      <c r="N37" s="766">
        <f t="shared" si="2"/>
        <v>2</v>
      </c>
      <c r="O37" s="770"/>
      <c r="P37" s="705"/>
      <c r="Q37" s="705"/>
      <c r="R37" s="708"/>
      <c r="S37" s="1075">
        <f t="shared" si="11"/>
        <v>45617</v>
      </c>
      <c r="T37" s="1076">
        <f t="shared" si="3"/>
        <v>5</v>
      </c>
      <c r="U37" s="769"/>
      <c r="V37" s="705"/>
      <c r="W37" s="705"/>
      <c r="X37" s="708"/>
      <c r="Y37" s="696">
        <f t="shared" si="7"/>
        <v>45647</v>
      </c>
      <c r="Z37" s="766">
        <f t="shared" si="4"/>
        <v>7</v>
      </c>
      <c r="AA37" s="768"/>
      <c r="AB37" s="704"/>
      <c r="AC37" s="704"/>
      <c r="AD37" s="709"/>
      <c r="AE37" s="700">
        <f t="shared" si="8"/>
        <v>45678</v>
      </c>
      <c r="AF37" s="766">
        <f t="shared" si="5"/>
        <v>3</v>
      </c>
      <c r="AG37" s="770"/>
      <c r="AH37" s="705"/>
      <c r="AI37" s="705"/>
      <c r="AJ37" s="708"/>
      <c r="AL37" s="698" t="str">
        <f>IF($M$11&lt;$AR$14,"就支不","")</f>
        <v>就支不</v>
      </c>
      <c r="AO37" s="808"/>
      <c r="AP37" s="809"/>
    </row>
    <row r="38" spans="1:42" s="462" customFormat="1" ht="27" customHeight="1" thickBot="1">
      <c r="A38" s="761">
        <f t="shared" si="9"/>
        <v>45526</v>
      </c>
      <c r="B38" s="765">
        <f t="shared" si="0"/>
        <v>5</v>
      </c>
      <c r="C38" s="769"/>
      <c r="D38" s="705"/>
      <c r="E38" s="705"/>
      <c r="F38" s="708"/>
      <c r="G38" s="696">
        <f t="shared" si="10"/>
        <v>45557</v>
      </c>
      <c r="H38" s="766">
        <f t="shared" si="1"/>
        <v>1</v>
      </c>
      <c r="I38" s="768"/>
      <c r="J38" s="704"/>
      <c r="K38" s="704"/>
      <c r="L38" s="709"/>
      <c r="M38" s="700">
        <f t="shared" si="6"/>
        <v>45587</v>
      </c>
      <c r="N38" s="765">
        <f t="shared" si="2"/>
        <v>3</v>
      </c>
      <c r="O38" s="768"/>
      <c r="P38" s="705"/>
      <c r="Q38" s="705"/>
      <c r="R38" s="708"/>
      <c r="S38" s="1075">
        <f t="shared" si="11"/>
        <v>45618</v>
      </c>
      <c r="T38" s="1076">
        <f t="shared" si="3"/>
        <v>6</v>
      </c>
      <c r="U38" s="769"/>
      <c r="V38" s="705"/>
      <c r="W38" s="705"/>
      <c r="X38" s="708"/>
      <c r="Y38" s="696">
        <f t="shared" si="7"/>
        <v>45648</v>
      </c>
      <c r="Z38" s="766">
        <f t="shared" si="4"/>
        <v>1</v>
      </c>
      <c r="AA38" s="768"/>
      <c r="AB38" s="704"/>
      <c r="AC38" s="704"/>
      <c r="AD38" s="709"/>
      <c r="AE38" s="700">
        <f t="shared" si="8"/>
        <v>45679</v>
      </c>
      <c r="AF38" s="765">
        <f t="shared" si="5"/>
        <v>4</v>
      </c>
      <c r="AG38" s="770"/>
      <c r="AH38" s="705"/>
      <c r="AI38" s="705"/>
      <c r="AJ38" s="708"/>
      <c r="AL38" s="698" t="str">
        <f>IF($M$11&gt;$AT$14,"就支超","")</f>
        <v/>
      </c>
      <c r="AO38" s="808"/>
      <c r="AP38" s="809"/>
    </row>
    <row r="39" spans="1:42" s="462" customFormat="1" ht="27" customHeight="1">
      <c r="A39" s="761">
        <f t="shared" si="9"/>
        <v>45527</v>
      </c>
      <c r="B39" s="765">
        <f t="shared" si="0"/>
        <v>6</v>
      </c>
      <c r="C39" s="769"/>
      <c r="D39" s="705"/>
      <c r="E39" s="705"/>
      <c r="F39" s="708"/>
      <c r="G39" s="700">
        <f t="shared" si="10"/>
        <v>45558</v>
      </c>
      <c r="H39" s="765">
        <f t="shared" si="1"/>
        <v>2</v>
      </c>
      <c r="I39" s="770"/>
      <c r="J39" s="705"/>
      <c r="K39" s="705"/>
      <c r="L39" s="708"/>
      <c r="M39" s="700">
        <f t="shared" si="6"/>
        <v>45588</v>
      </c>
      <c r="N39" s="765">
        <f t="shared" si="2"/>
        <v>4</v>
      </c>
      <c r="O39" s="768"/>
      <c r="P39" s="705"/>
      <c r="Q39" s="705"/>
      <c r="R39" s="708"/>
      <c r="S39" s="1075">
        <f t="shared" si="11"/>
        <v>45619</v>
      </c>
      <c r="T39" s="1076">
        <f t="shared" si="3"/>
        <v>7</v>
      </c>
      <c r="U39" s="769"/>
      <c r="V39" s="705"/>
      <c r="W39" s="705"/>
      <c r="X39" s="708"/>
      <c r="Y39" s="700">
        <f t="shared" si="7"/>
        <v>45649</v>
      </c>
      <c r="Z39" s="765">
        <f t="shared" si="4"/>
        <v>2</v>
      </c>
      <c r="AA39" s="770"/>
      <c r="AB39" s="705"/>
      <c r="AC39" s="705"/>
      <c r="AD39" s="708"/>
      <c r="AE39" s="700">
        <f t="shared" si="8"/>
        <v>45680</v>
      </c>
      <c r="AF39" s="765">
        <f t="shared" si="5"/>
        <v>5</v>
      </c>
      <c r="AG39" s="769"/>
      <c r="AH39" s="705"/>
      <c r="AI39" s="705"/>
      <c r="AJ39" s="708"/>
      <c r="AL39" s="1411"/>
      <c r="AO39" s="808"/>
      <c r="AP39" s="809"/>
    </row>
    <row r="40" spans="1:42" s="462" customFormat="1" ht="27" customHeight="1">
      <c r="A40" s="761">
        <f t="shared" si="9"/>
        <v>45528</v>
      </c>
      <c r="B40" s="765">
        <f t="shared" si="0"/>
        <v>7</v>
      </c>
      <c r="C40" s="769"/>
      <c r="D40" s="705"/>
      <c r="E40" s="705"/>
      <c r="F40" s="708"/>
      <c r="G40" s="696">
        <f t="shared" si="10"/>
        <v>45559</v>
      </c>
      <c r="H40" s="766">
        <f t="shared" si="1"/>
        <v>3</v>
      </c>
      <c r="I40" s="769"/>
      <c r="J40" s="705"/>
      <c r="K40" s="705"/>
      <c r="L40" s="708"/>
      <c r="M40" s="700">
        <f t="shared" si="6"/>
        <v>45589</v>
      </c>
      <c r="N40" s="765">
        <f t="shared" si="2"/>
        <v>5</v>
      </c>
      <c r="O40" s="768"/>
      <c r="P40" s="705"/>
      <c r="Q40" s="705"/>
      <c r="R40" s="708"/>
      <c r="S40" s="1075">
        <f t="shared" si="11"/>
        <v>45620</v>
      </c>
      <c r="T40" s="1076">
        <f t="shared" si="3"/>
        <v>1</v>
      </c>
      <c r="U40" s="769"/>
      <c r="V40" s="705"/>
      <c r="W40" s="705"/>
      <c r="X40" s="708"/>
      <c r="Y40" s="696">
        <f t="shared" si="7"/>
        <v>45650</v>
      </c>
      <c r="Z40" s="766">
        <f t="shared" si="4"/>
        <v>3</v>
      </c>
      <c r="AA40" s="770"/>
      <c r="AB40" s="705"/>
      <c r="AC40" s="705"/>
      <c r="AD40" s="708"/>
      <c r="AE40" s="700">
        <f t="shared" si="8"/>
        <v>45681</v>
      </c>
      <c r="AF40" s="765">
        <f t="shared" si="5"/>
        <v>6</v>
      </c>
      <c r="AG40" s="769"/>
      <c r="AH40" s="705"/>
      <c r="AI40" s="705"/>
      <c r="AJ40" s="708"/>
      <c r="AL40" s="1411"/>
      <c r="AO40" s="810"/>
      <c r="AP40" s="811"/>
    </row>
    <row r="41" spans="1:42" s="462" customFormat="1" ht="27" customHeight="1">
      <c r="A41" s="761">
        <f t="shared" si="9"/>
        <v>45529</v>
      </c>
      <c r="B41" s="765">
        <f t="shared" si="0"/>
        <v>1</v>
      </c>
      <c r="C41" s="769"/>
      <c r="D41" s="705"/>
      <c r="E41" s="705"/>
      <c r="F41" s="708"/>
      <c r="G41" s="696">
        <f t="shared" si="10"/>
        <v>45560</v>
      </c>
      <c r="H41" s="766">
        <f t="shared" si="1"/>
        <v>4</v>
      </c>
      <c r="I41" s="770"/>
      <c r="J41" s="705"/>
      <c r="K41" s="705"/>
      <c r="L41" s="708"/>
      <c r="M41" s="700">
        <f t="shared" si="6"/>
        <v>45590</v>
      </c>
      <c r="N41" s="765">
        <f t="shared" si="2"/>
        <v>6</v>
      </c>
      <c r="O41" s="769"/>
      <c r="P41" s="705"/>
      <c r="Q41" s="705"/>
      <c r="R41" s="708"/>
      <c r="S41" s="1075">
        <f t="shared" si="11"/>
        <v>45621</v>
      </c>
      <c r="T41" s="1076">
        <f t="shared" si="3"/>
        <v>2</v>
      </c>
      <c r="U41" s="769"/>
      <c r="V41" s="705"/>
      <c r="W41" s="705"/>
      <c r="X41" s="708"/>
      <c r="Y41" s="696">
        <f t="shared" si="7"/>
        <v>45651</v>
      </c>
      <c r="Z41" s="766">
        <f t="shared" si="4"/>
        <v>4</v>
      </c>
      <c r="AA41" s="770"/>
      <c r="AB41" s="705"/>
      <c r="AC41" s="705"/>
      <c r="AD41" s="708"/>
      <c r="AE41" s="700">
        <f t="shared" si="8"/>
        <v>45682</v>
      </c>
      <c r="AF41" s="765">
        <f t="shared" si="5"/>
        <v>7</v>
      </c>
      <c r="AG41" s="769"/>
      <c r="AH41" s="705"/>
      <c r="AI41" s="705"/>
      <c r="AJ41" s="708"/>
      <c r="AL41" s="1411"/>
      <c r="AO41" s="810"/>
      <c r="AP41" s="811"/>
    </row>
    <row r="42" spans="1:42" s="462" customFormat="1" ht="27" customHeight="1">
      <c r="A42" s="761">
        <f t="shared" si="9"/>
        <v>45530</v>
      </c>
      <c r="B42" s="765">
        <f t="shared" si="0"/>
        <v>2</v>
      </c>
      <c r="C42" s="768"/>
      <c r="D42" s="704"/>
      <c r="E42" s="704"/>
      <c r="F42" s="709"/>
      <c r="G42" s="696">
        <f t="shared" si="10"/>
        <v>45561</v>
      </c>
      <c r="H42" s="766">
        <f t="shared" si="1"/>
        <v>5</v>
      </c>
      <c r="I42" s="770"/>
      <c r="J42" s="705"/>
      <c r="K42" s="705"/>
      <c r="L42" s="708"/>
      <c r="M42" s="700">
        <f t="shared" si="6"/>
        <v>45591</v>
      </c>
      <c r="N42" s="765">
        <f t="shared" si="2"/>
        <v>7</v>
      </c>
      <c r="O42" s="769"/>
      <c r="P42" s="705"/>
      <c r="Q42" s="705"/>
      <c r="R42" s="708"/>
      <c r="S42" s="1075">
        <f t="shared" si="11"/>
        <v>45622</v>
      </c>
      <c r="T42" s="1076">
        <f t="shared" si="3"/>
        <v>3</v>
      </c>
      <c r="U42" s="768"/>
      <c r="V42" s="704"/>
      <c r="W42" s="704"/>
      <c r="X42" s="709"/>
      <c r="Y42" s="696">
        <f t="shared" si="7"/>
        <v>45652</v>
      </c>
      <c r="Z42" s="766">
        <f t="shared" si="4"/>
        <v>5</v>
      </c>
      <c r="AA42" s="770"/>
      <c r="AB42" s="705"/>
      <c r="AC42" s="705"/>
      <c r="AD42" s="708"/>
      <c r="AE42" s="700">
        <f t="shared" si="8"/>
        <v>45683</v>
      </c>
      <c r="AF42" s="765">
        <f t="shared" si="5"/>
        <v>1</v>
      </c>
      <c r="AG42" s="769"/>
      <c r="AH42" s="705"/>
      <c r="AI42" s="705"/>
      <c r="AJ42" s="708"/>
      <c r="AL42" s="1411"/>
      <c r="AO42" s="810"/>
      <c r="AP42" s="811"/>
    </row>
    <row r="43" spans="1:42" s="462" customFormat="1" ht="27" customHeight="1">
      <c r="A43" s="761">
        <f t="shared" si="9"/>
        <v>45531</v>
      </c>
      <c r="B43" s="765">
        <f t="shared" si="0"/>
        <v>3</v>
      </c>
      <c r="C43" s="768"/>
      <c r="D43" s="704"/>
      <c r="E43" s="704"/>
      <c r="F43" s="709"/>
      <c r="G43" s="696">
        <f t="shared" si="10"/>
        <v>45562</v>
      </c>
      <c r="H43" s="766">
        <f t="shared" si="1"/>
        <v>6</v>
      </c>
      <c r="I43" s="770"/>
      <c r="J43" s="705"/>
      <c r="K43" s="705"/>
      <c r="L43" s="708"/>
      <c r="M43" s="700">
        <f t="shared" si="6"/>
        <v>45592</v>
      </c>
      <c r="N43" s="765">
        <f>WEEKDAY(M43)</f>
        <v>1</v>
      </c>
      <c r="O43" s="769"/>
      <c r="P43" s="705"/>
      <c r="Q43" s="705"/>
      <c r="R43" s="708"/>
      <c r="S43" s="1075">
        <f t="shared" si="11"/>
        <v>45623</v>
      </c>
      <c r="T43" s="1076">
        <f t="shared" si="3"/>
        <v>4</v>
      </c>
      <c r="U43" s="768"/>
      <c r="V43" s="704"/>
      <c r="W43" s="704"/>
      <c r="X43" s="709"/>
      <c r="Y43" s="696">
        <f t="shared" si="7"/>
        <v>45653</v>
      </c>
      <c r="Z43" s="766">
        <f t="shared" si="4"/>
        <v>6</v>
      </c>
      <c r="AA43" s="770"/>
      <c r="AB43" s="705"/>
      <c r="AC43" s="705"/>
      <c r="AD43" s="708"/>
      <c r="AE43" s="700">
        <f t="shared" si="8"/>
        <v>45684</v>
      </c>
      <c r="AF43" s="765">
        <f>WEEKDAY(AE43)</f>
        <v>2</v>
      </c>
      <c r="AG43" s="769"/>
      <c r="AH43" s="705"/>
      <c r="AI43" s="705"/>
      <c r="AJ43" s="708"/>
      <c r="AL43" s="699"/>
      <c r="AO43" s="810"/>
      <c r="AP43" s="811"/>
    </row>
    <row r="44" spans="1:42" s="462" customFormat="1" ht="27" customHeight="1">
      <c r="A44" s="761">
        <f t="shared" si="9"/>
        <v>45532</v>
      </c>
      <c r="B44" s="765">
        <f t="shared" si="0"/>
        <v>4</v>
      </c>
      <c r="C44" s="769"/>
      <c r="D44" s="705"/>
      <c r="E44" s="705"/>
      <c r="F44" s="708"/>
      <c r="G44" s="696">
        <f t="shared" si="10"/>
        <v>45563</v>
      </c>
      <c r="H44" s="766">
        <f t="shared" si="1"/>
        <v>7</v>
      </c>
      <c r="I44" s="770"/>
      <c r="J44" s="705"/>
      <c r="K44" s="705"/>
      <c r="L44" s="708"/>
      <c r="M44" s="700">
        <f t="shared" si="6"/>
        <v>45593</v>
      </c>
      <c r="N44" s="765">
        <f>WEEKDAY(M44)</f>
        <v>2</v>
      </c>
      <c r="O44" s="769"/>
      <c r="P44" s="705"/>
      <c r="Q44" s="705"/>
      <c r="R44" s="708"/>
      <c r="S44" s="1075">
        <f t="shared" si="11"/>
        <v>45624</v>
      </c>
      <c r="T44" s="1076">
        <f t="shared" si="3"/>
        <v>5</v>
      </c>
      <c r="U44" s="769"/>
      <c r="V44" s="705"/>
      <c r="W44" s="705"/>
      <c r="X44" s="708"/>
      <c r="Y44" s="696">
        <f t="shared" si="7"/>
        <v>45654</v>
      </c>
      <c r="Z44" s="766">
        <f t="shared" si="4"/>
        <v>7</v>
      </c>
      <c r="AA44" s="770"/>
      <c r="AB44" s="705"/>
      <c r="AC44" s="705"/>
      <c r="AD44" s="708"/>
      <c r="AE44" s="700">
        <f t="shared" si="8"/>
        <v>45685</v>
      </c>
      <c r="AF44" s="765">
        <f>WEEKDAY(AE44)</f>
        <v>3</v>
      </c>
      <c r="AG44" s="769"/>
      <c r="AH44" s="705"/>
      <c r="AI44" s="705"/>
      <c r="AJ44" s="708"/>
      <c r="AL44" s="1411"/>
      <c r="AN44" s="701"/>
      <c r="AO44" s="810"/>
      <c r="AP44" s="811"/>
    </row>
    <row r="45" spans="1:42" s="462" customFormat="1" ht="27" customHeight="1">
      <c r="A45" s="762">
        <f t="shared" si="9"/>
        <v>45533</v>
      </c>
      <c r="B45" s="766">
        <f t="shared" si="0"/>
        <v>5</v>
      </c>
      <c r="C45" s="771"/>
      <c r="D45" s="704"/>
      <c r="E45" s="704"/>
      <c r="F45" s="709"/>
      <c r="G45" s="696">
        <f t="shared" si="10"/>
        <v>45564</v>
      </c>
      <c r="H45" s="766">
        <f t="shared" si="1"/>
        <v>1</v>
      </c>
      <c r="I45" s="770"/>
      <c r="J45" s="705"/>
      <c r="K45" s="705"/>
      <c r="L45" s="708"/>
      <c r="M45" s="700">
        <f t="shared" si="6"/>
        <v>45594</v>
      </c>
      <c r="N45" s="765">
        <f t="shared" ref="N45:N47" si="12">WEEKDAY(M45)</f>
        <v>3</v>
      </c>
      <c r="O45" s="769"/>
      <c r="P45" s="705"/>
      <c r="Q45" s="705"/>
      <c r="R45" s="708"/>
      <c r="S45" s="1077">
        <f t="shared" si="11"/>
        <v>45625</v>
      </c>
      <c r="T45" s="1078">
        <f t="shared" si="3"/>
        <v>6</v>
      </c>
      <c r="U45" s="771"/>
      <c r="V45" s="704"/>
      <c r="W45" s="704"/>
      <c r="X45" s="709"/>
      <c r="Y45" s="696">
        <f t="shared" si="7"/>
        <v>45655</v>
      </c>
      <c r="Z45" s="766">
        <f t="shared" si="4"/>
        <v>1</v>
      </c>
      <c r="AA45" s="770"/>
      <c r="AB45" s="705"/>
      <c r="AC45" s="705"/>
      <c r="AD45" s="708"/>
      <c r="AE45" s="700">
        <f t="shared" si="8"/>
        <v>45686</v>
      </c>
      <c r="AF45" s="765">
        <f t="shared" ref="AF45:AF47" si="13">WEEKDAY(AE45)</f>
        <v>4</v>
      </c>
      <c r="AG45" s="769"/>
      <c r="AH45" s="705"/>
      <c r="AI45" s="705"/>
      <c r="AJ45" s="708"/>
      <c r="AL45" s="1411"/>
      <c r="AO45" s="810"/>
      <c r="AP45" s="811"/>
    </row>
    <row r="46" spans="1:42" s="462" customFormat="1" ht="27" customHeight="1">
      <c r="A46" s="761">
        <f t="shared" si="9"/>
        <v>45534</v>
      </c>
      <c r="B46" s="765">
        <f t="shared" si="0"/>
        <v>6</v>
      </c>
      <c r="C46" s="769"/>
      <c r="D46" s="705"/>
      <c r="E46" s="705"/>
      <c r="F46" s="708"/>
      <c r="G46" s="696">
        <f t="shared" si="10"/>
        <v>45565</v>
      </c>
      <c r="H46" s="766">
        <f t="shared" si="1"/>
        <v>2</v>
      </c>
      <c r="I46" s="770"/>
      <c r="J46" s="705"/>
      <c r="K46" s="705"/>
      <c r="L46" s="708"/>
      <c r="M46" s="700">
        <f t="shared" si="6"/>
        <v>45595</v>
      </c>
      <c r="N46" s="765">
        <f t="shared" si="12"/>
        <v>4</v>
      </c>
      <c r="O46" s="769"/>
      <c r="P46" s="705"/>
      <c r="Q46" s="705"/>
      <c r="R46" s="708"/>
      <c r="S46" s="1075">
        <f t="shared" si="11"/>
        <v>45626</v>
      </c>
      <c r="T46" s="1076">
        <f t="shared" si="3"/>
        <v>7</v>
      </c>
      <c r="U46" s="769"/>
      <c r="V46" s="705"/>
      <c r="W46" s="705"/>
      <c r="X46" s="708"/>
      <c r="Y46" s="696">
        <f t="shared" si="7"/>
        <v>45656</v>
      </c>
      <c r="Z46" s="766">
        <f t="shared" si="4"/>
        <v>2</v>
      </c>
      <c r="AA46" s="770"/>
      <c r="AB46" s="705"/>
      <c r="AC46" s="705"/>
      <c r="AD46" s="708"/>
      <c r="AE46" s="700">
        <f t="shared" si="8"/>
        <v>45687</v>
      </c>
      <c r="AF46" s="765">
        <f t="shared" si="13"/>
        <v>5</v>
      </c>
      <c r="AG46" s="769"/>
      <c r="AH46" s="705"/>
      <c r="AI46" s="705"/>
      <c r="AJ46" s="708"/>
      <c r="AL46" s="699"/>
      <c r="AO46" s="810"/>
      <c r="AP46" s="811"/>
    </row>
    <row r="47" spans="1:42" s="462" customFormat="1" ht="27" customHeight="1">
      <c r="A47" s="761">
        <f t="shared" si="9"/>
        <v>45535</v>
      </c>
      <c r="B47" s="765">
        <f t="shared" si="0"/>
        <v>7</v>
      </c>
      <c r="C47" s="769"/>
      <c r="D47" s="705"/>
      <c r="E47" s="705"/>
      <c r="F47" s="708"/>
      <c r="G47" s="700">
        <f t="shared" si="10"/>
        <v>45566</v>
      </c>
      <c r="H47" s="765">
        <f t="shared" si="1"/>
        <v>3</v>
      </c>
      <c r="I47" s="826"/>
      <c r="J47" s="827"/>
      <c r="K47" s="827"/>
      <c r="L47" s="821"/>
      <c r="M47" s="700">
        <f t="shared" si="6"/>
        <v>45596</v>
      </c>
      <c r="N47" s="765">
        <f t="shared" si="12"/>
        <v>5</v>
      </c>
      <c r="O47" s="769"/>
      <c r="P47" s="705"/>
      <c r="Q47" s="705"/>
      <c r="R47" s="708"/>
      <c r="S47" s="1075">
        <f t="shared" si="11"/>
        <v>45627</v>
      </c>
      <c r="T47" s="1076">
        <f t="shared" si="3"/>
        <v>1</v>
      </c>
      <c r="U47" s="769"/>
      <c r="V47" s="705"/>
      <c r="W47" s="705"/>
      <c r="X47" s="708"/>
      <c r="Y47" s="700">
        <f t="shared" si="7"/>
        <v>45657</v>
      </c>
      <c r="Z47" s="765">
        <f t="shared" si="4"/>
        <v>3</v>
      </c>
      <c r="AA47" s="826"/>
      <c r="AB47" s="827"/>
      <c r="AC47" s="827"/>
      <c r="AD47" s="821"/>
      <c r="AE47" s="700">
        <f t="shared" si="8"/>
        <v>45688</v>
      </c>
      <c r="AF47" s="765">
        <f t="shared" si="13"/>
        <v>6</v>
      </c>
      <c r="AG47" s="769" t="s">
        <v>1163</v>
      </c>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0</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3</v>
      </c>
      <c r="AH56" s="1888" t="s">
        <v>52</v>
      </c>
      <c r="AI56" s="1889"/>
      <c r="AJ56" s="1890"/>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68" priority="33">
      <formula>OR($B17=1,$B17=7)</formula>
    </cfRule>
  </conditionalFormatting>
  <conditionalFormatting sqref="G17:L48">
    <cfRule type="expression" dxfId="167" priority="32">
      <formula>OR($H17=1,$H17=7)</formula>
    </cfRule>
  </conditionalFormatting>
  <conditionalFormatting sqref="M17:R48">
    <cfRule type="expression" dxfId="166" priority="31">
      <formula>OR($N17=1,$N17=7)</formula>
    </cfRule>
  </conditionalFormatting>
  <conditionalFormatting sqref="A16:C16 G16:I16 M16:O16 Y16:AA16 AE16:AG16">
    <cfRule type="expression" dxfId="165" priority="25">
      <formula>A17&gt;$AO$4</formula>
    </cfRule>
  </conditionalFormatting>
  <conditionalFormatting sqref="S17:X48">
    <cfRule type="expression" dxfId="164" priority="22">
      <formula>OR($T17=1,$T17=7)</formula>
    </cfRule>
  </conditionalFormatting>
  <conditionalFormatting sqref="Y17:AD48">
    <cfRule type="expression" dxfId="163" priority="24">
      <formula>OR($Z17=1,$Z17=7)</formula>
    </cfRule>
  </conditionalFormatting>
  <conditionalFormatting sqref="AE17:AJ48">
    <cfRule type="expression" dxfId="162" priority="23">
      <formula>OR($AF17=1,$AF17=7)</formula>
    </cfRule>
  </conditionalFormatting>
  <conditionalFormatting sqref="A17:B47">
    <cfRule type="expression" dxfId="161" priority="17">
      <formula>OR($A17&gt;$AO$4,AND(MONTH($A$17)&lt;&gt;MONTH($A17),DAY($A17)&gt;=DAY($A$17)))</formula>
    </cfRule>
  </conditionalFormatting>
  <conditionalFormatting sqref="M17:R47">
    <cfRule type="expression" dxfId="160" priority="18" stopIfTrue="1">
      <formula>OR($M17&gt;$AO$4,AND(MONTH($M$17)&lt;&gt;MONTH($M17),DAY($M17)&gt;=DAY($M$17)))</formula>
    </cfRule>
  </conditionalFormatting>
  <conditionalFormatting sqref="A17:F47">
    <cfRule type="expression" dxfId="159" priority="19" stopIfTrue="1">
      <formula>OR($A17&gt;$AO$4,AND(MONTH($A$17)&lt;&gt;MONTH($A17),DAY($A17)&gt;=DAY($A$17)))</formula>
    </cfRule>
  </conditionalFormatting>
  <conditionalFormatting sqref="G17:L47">
    <cfRule type="expression" dxfId="158" priority="16" stopIfTrue="1">
      <formula>OR($G17&gt;$AO$4,AND(MONTH($G$17)&lt;&gt;MONTH($G17),DAY($G17)&gt;=DAY($G$17)))</formula>
    </cfRule>
  </conditionalFormatting>
  <conditionalFormatting sqref="S16:U16">
    <cfRule type="expression" dxfId="157" priority="15">
      <formula>S17&gt;$AO$4</formula>
    </cfRule>
  </conditionalFormatting>
  <conditionalFormatting sqref="S17:X47">
    <cfRule type="expression" dxfId="156" priority="9" stopIfTrue="1">
      <formula>OR($S17&gt;$AO$4,AND(MONTH($S$17)&lt;&gt;MONTH($S17),DAY($S17)&gt;=DAY($S$17)))</formula>
    </cfRule>
  </conditionalFormatting>
  <conditionalFormatting sqref="Y17:AD47">
    <cfRule type="expression" dxfId="155" priority="13" stopIfTrue="1">
      <formula>OR($Y17&gt;$AO$4,AND(MONTH($Y$17)&lt;&gt;MONTH($Y17),DAY($Y17)&gt;=DAY($Y$17)))</formula>
    </cfRule>
  </conditionalFormatting>
  <conditionalFormatting sqref="AE17:AJ47">
    <cfRule type="expression" dxfId="154" priority="12" stopIfTrue="1">
      <formula>OR($AE17&gt;$AO$4,AND(MONTH($AE$17)&lt;&gt;MONTH($AE17),DAY($AE17)&gt;=DAY($AE$17)))</formula>
    </cfRule>
  </conditionalFormatting>
  <conditionalFormatting sqref="G17:H47">
    <cfRule type="expression" dxfId="153" priority="11">
      <formula>OR($G17&gt;$AO$4,AND(MONTH($G$17)&lt;&gt;MONTH($G17),DAY($G17)&gt;=DAY($G$17)))</formula>
    </cfRule>
  </conditionalFormatting>
  <conditionalFormatting sqref="M17:N47">
    <cfRule type="expression" dxfId="152" priority="10">
      <formula>OR($M17&gt;$AO$4,AND(MONTH($M$17)&lt;&gt;MONTH($M17),DAY($M17)&gt;=DAY($M$17)))</formula>
    </cfRule>
  </conditionalFormatting>
  <conditionalFormatting sqref="S17:T47">
    <cfRule type="expression" dxfId="151" priority="7">
      <formula>OR($S17&gt;$AO$4,AND(MONTH($S$17)&lt;&gt;MONTH($S17),DAY($S17)&gt;=DAY($S$17)))</formula>
    </cfRule>
  </conditionalFormatting>
  <conditionalFormatting sqref="Y17:Z47">
    <cfRule type="expression" dxfId="150" priority="8">
      <formula>OR($Y17&gt;$AO$4,AND(MONTH($Y$17)&lt;&gt;MONTH($Y17),DAY($Y17)&gt;=DAY($Y$17)))</formula>
    </cfRule>
  </conditionalFormatting>
  <conditionalFormatting sqref="AE17:AF47">
    <cfRule type="expression" dxfId="149" priority="6">
      <formula>OR($AE17&gt;$AO$4,AND(MONTH($AE$17)&lt;&gt;MONTH($AE17),DAY($AE17)&gt;=DAY($AE$17)))</formula>
    </cfRule>
  </conditionalFormatting>
  <conditionalFormatting sqref="C17:AG47">
    <cfRule type="containsText" dxfId="148" priority="4" operator="containsText" text="入校式">
      <formula>NOT(ISERROR(SEARCH("入校式",C17)))</formula>
    </cfRule>
    <cfRule type="containsText" dxfId="147" priority="5" operator="containsText" text="修了式">
      <formula>NOT(ISERROR(SEARCH("修了式",C17)))</formula>
    </cfRule>
    <cfRule type="containsText" dxfId="146" priority="26" operator="containsText" text="就職活動日">
      <formula>NOT(ISERROR(SEARCH("就職活動日",C17)))</formula>
    </cfRule>
    <cfRule type="containsText" dxfId="145" priority="27" operator="containsText" text="休校日">
      <formula>NOT(ISERROR(SEARCH("休校日",C17)))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topLeftCell="A22" zoomScale="90" zoomScaleNormal="85" zoomScaleSheetLayoutView="90" workbookViewId="0">
      <selection activeCell="AG46" sqref="AG46"/>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9</v>
      </c>
      <c r="N1" s="68"/>
      <c r="O1" s="69" t="s">
        <v>29</v>
      </c>
      <c r="P1" s="69"/>
      <c r="Q1" s="69"/>
      <c r="R1" s="68"/>
      <c r="S1" s="68"/>
      <c r="T1" s="68"/>
      <c r="U1" s="69"/>
      <c r="V1" s="69"/>
      <c r="W1" s="69"/>
      <c r="X1" s="68"/>
      <c r="Y1" s="68"/>
      <c r="Z1" s="68"/>
      <c r="AA1" s="69"/>
      <c r="AB1" s="69"/>
      <c r="AC1" s="69"/>
      <c r="AD1" s="68"/>
      <c r="AE1" s="70">
        <f>MONTH($AO$3)</f>
        <v>9</v>
      </c>
      <c r="AF1" s="68"/>
      <c r="AG1" s="69" t="s">
        <v>29</v>
      </c>
      <c r="AH1" s="69"/>
      <c r="AI1" s="69"/>
      <c r="AJ1" s="68"/>
    </row>
    <row r="2" spans="1:47" ht="15" customHeight="1" thickBot="1">
      <c r="A2" s="72"/>
      <c r="B2" s="455" t="s">
        <v>463</v>
      </c>
      <c r="C2" s="1291">
        <v>45537</v>
      </c>
      <c r="D2" s="575" t="s">
        <v>515</v>
      </c>
      <c r="E2" s="73"/>
      <c r="F2" s="72"/>
      <c r="G2" s="72"/>
      <c r="H2" s="459"/>
      <c r="I2" s="73"/>
      <c r="J2" s="1915" t="s">
        <v>450</v>
      </c>
      <c r="K2" s="1915"/>
      <c r="L2" s="1915"/>
      <c r="M2" s="1915"/>
      <c r="N2" s="1915"/>
      <c r="O2" s="1913" t="str">
        <f>Data!$A$11</f>
        <v>離職者等再就職訓練（６箇月）</v>
      </c>
      <c r="P2" s="1913"/>
      <c r="Q2" s="1913"/>
      <c r="R2" s="1913"/>
      <c r="S2" s="72"/>
      <c r="T2" s="72"/>
      <c r="U2" s="73"/>
      <c r="V2" s="73"/>
      <c r="W2" s="73"/>
      <c r="X2" s="72"/>
      <c r="Y2" s="72"/>
      <c r="Z2" s="72"/>
      <c r="AA2" s="73"/>
      <c r="AB2" s="1915" t="s">
        <v>450</v>
      </c>
      <c r="AC2" s="1915"/>
      <c r="AD2" s="1915"/>
      <c r="AE2" s="1915"/>
      <c r="AF2" s="1915"/>
      <c r="AG2" s="1913" t="str">
        <f>Data!$A$11</f>
        <v>離職者等再就職訓練（６箇月）</v>
      </c>
      <c r="AH2" s="1913"/>
      <c r="AI2" s="1913"/>
      <c r="AJ2" s="1913"/>
      <c r="AK2" s="452"/>
      <c r="AL2" s="452"/>
      <c r="AQ2" s="228" t="s">
        <v>401</v>
      </c>
      <c r="AR2" s="461">
        <f>VLOOKUP(O2,祝日!K3:S25,2,FALSE)</f>
        <v>6</v>
      </c>
      <c r="AS2" s="449" t="s">
        <v>466</v>
      </c>
    </row>
    <row r="3" spans="1:47" ht="15" customHeight="1" thickBot="1">
      <c r="A3" s="74"/>
      <c r="B3" s="455" t="s">
        <v>464</v>
      </c>
      <c r="C3" s="1291">
        <v>45716</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45537</v>
      </c>
      <c r="AQ3" s="228" t="s">
        <v>283</v>
      </c>
      <c r="AR3" s="804">
        <f>VLOOKUP($O$2,祝日!$K$3:$S$25,3,FALSE)</f>
        <v>600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45716</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①</v>
      </c>
      <c r="U7" s="852" t="str">
        <f>CONCATENATE(TEXT(AR9,"ggge年m月d日"),"から",TEXT(AT9,"ggge年m月d日"),"までの期間で、")</f>
        <v>令和7年1月1日から令和7年2月15日までの期間で、</v>
      </c>
      <c r="V7" s="831"/>
      <c r="W7" s="831"/>
      <c r="X7" s="831"/>
      <c r="Y7" s="844"/>
      <c r="Z7" s="845"/>
      <c r="AA7" s="846"/>
      <c r="AB7" s="1416"/>
      <c r="AC7" s="1416"/>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600時間以上</v>
      </c>
      <c r="P9" s="1960"/>
      <c r="Q9" s="1960"/>
      <c r="R9" s="1961"/>
      <c r="S9" s="74"/>
      <c r="T9" s="859" t="str">
        <f>IF(AR2=6,"②","")</f>
        <v>②</v>
      </c>
      <c r="U9" s="857" t="str">
        <f>IF(AR2=6,CONCATENATE(TEXT(AR10,"ggge年m月d日"),"から",TEXT(AT10,"ggge年m月d日"),"までの期間で、"),"")</f>
        <v>令和6年12月1日から令和7年1月15日までの期間で、</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45658</v>
      </c>
      <c r="AS9" s="752" t="s">
        <v>736</v>
      </c>
      <c r="AT9" s="830">
        <f>IF(MONTH($AO$3)=MONTH($AO$4),$AO$4-1,DATE(YEAR($AO$4),MONTH($AO$4),DAY(15)))</f>
        <v>45703</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1日以上設定すること。</v>
      </c>
      <c r="V10" s="80"/>
      <c r="W10" s="80"/>
      <c r="X10" s="76"/>
      <c r="Y10" s="74"/>
      <c r="Z10" s="76"/>
      <c r="AA10" s="847"/>
      <c r="AB10" s="1416"/>
      <c r="AC10" s="1416"/>
      <c r="AD10" s="76"/>
      <c r="AE10" s="74"/>
      <c r="AF10" s="1416"/>
      <c r="AG10" s="228"/>
      <c r="AH10" s="228"/>
      <c r="AI10" s="228"/>
      <c r="AK10" s="227"/>
      <c r="AN10" s="228"/>
      <c r="AQ10" s="228" t="s">
        <v>735</v>
      </c>
      <c r="AR10" s="830">
        <f>DATE(YEAR($AO$4),MONTH($AO$4)-2,DAY(1))</f>
        <v>45627</v>
      </c>
      <c r="AS10" s="752" t="s">
        <v>736</v>
      </c>
      <c r="AT10" s="830">
        <f>DATE(YEAR($AO$4),MONTH($AO$4)-1,DAY(15))</f>
        <v>45672</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24時間以上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1968"/>
      <c r="B12" s="1969"/>
      <c r="C12" s="1969"/>
      <c r="D12" s="1969"/>
      <c r="E12" s="1969"/>
      <c r="F12" s="1969"/>
      <c r="G12" s="1970"/>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9</v>
      </c>
      <c r="B16" s="1873"/>
      <c r="C16" s="1874"/>
      <c r="D16" s="756" t="s">
        <v>445</v>
      </c>
      <c r="E16" s="757" t="s">
        <v>447</v>
      </c>
      <c r="F16" s="758" t="s">
        <v>449</v>
      </c>
      <c r="G16" s="1872">
        <f>MONTH(G17)</f>
        <v>10</v>
      </c>
      <c r="H16" s="1873"/>
      <c r="I16" s="1874"/>
      <c r="J16" s="756" t="s">
        <v>444</v>
      </c>
      <c r="K16" s="756" t="s">
        <v>446</v>
      </c>
      <c r="L16" s="759" t="s">
        <v>448</v>
      </c>
      <c r="M16" s="1872">
        <f>MONTH(M17)</f>
        <v>11</v>
      </c>
      <c r="N16" s="1873"/>
      <c r="O16" s="1874"/>
      <c r="P16" s="756" t="s">
        <v>444</v>
      </c>
      <c r="Q16" s="756" t="s">
        <v>446</v>
      </c>
      <c r="R16" s="758" t="s">
        <v>448</v>
      </c>
      <c r="S16" s="1872">
        <f>MONTH(S17)</f>
        <v>12</v>
      </c>
      <c r="T16" s="1873"/>
      <c r="U16" s="1874"/>
      <c r="V16" s="756" t="s">
        <v>445</v>
      </c>
      <c r="W16" s="757" t="s">
        <v>447</v>
      </c>
      <c r="X16" s="758" t="s">
        <v>449</v>
      </c>
      <c r="Y16" s="1872">
        <f>MONTH(Y17)</f>
        <v>1</v>
      </c>
      <c r="Z16" s="1873"/>
      <c r="AA16" s="1874"/>
      <c r="AB16" s="756" t="s">
        <v>444</v>
      </c>
      <c r="AC16" s="756" t="s">
        <v>446</v>
      </c>
      <c r="AD16" s="759" t="s">
        <v>448</v>
      </c>
      <c r="AE16" s="1872">
        <f>MONTH(AE17)</f>
        <v>2</v>
      </c>
      <c r="AF16" s="1873"/>
      <c r="AG16" s="1874"/>
      <c r="AH16" s="756" t="s">
        <v>444</v>
      </c>
      <c r="AI16" s="756" t="s">
        <v>446</v>
      </c>
      <c r="AJ16" s="758" t="s">
        <v>448</v>
      </c>
      <c r="AL16" s="456" t="s">
        <v>459</v>
      </c>
      <c r="AM16" s="464" t="s">
        <v>468</v>
      </c>
      <c r="AO16" s="806"/>
      <c r="AP16" s="807"/>
    </row>
    <row r="17" spans="1:42" s="462" customFormat="1" ht="27" customHeight="1" thickTop="1" thickBot="1">
      <c r="A17" s="760">
        <f>AO3</f>
        <v>45537</v>
      </c>
      <c r="B17" s="764">
        <f t="shared" ref="B17:B47" si="0">WEEKDAY(A17)</f>
        <v>2</v>
      </c>
      <c r="C17" s="775" t="s">
        <v>688</v>
      </c>
      <c r="D17" s="782"/>
      <c r="E17" s="782"/>
      <c r="F17" s="783"/>
      <c r="G17" s="767">
        <f>DATE(YEAR($A$17),MONTH($A$17)+1,DAY($A$17))</f>
        <v>45567</v>
      </c>
      <c r="H17" s="764">
        <f t="shared" ref="H17:H47" si="1">WEEKDAY(G17)</f>
        <v>4</v>
      </c>
      <c r="I17" s="775"/>
      <c r="J17" s="776"/>
      <c r="K17" s="776"/>
      <c r="L17" s="777"/>
      <c r="M17" s="774">
        <f>DATE(YEAR($A$17),MONTH($A$17)+2,DAY($A$17))</f>
        <v>45598</v>
      </c>
      <c r="N17" s="780">
        <f t="shared" ref="N17:N42" si="2">WEEKDAY(M17)</f>
        <v>7</v>
      </c>
      <c r="O17" s="781"/>
      <c r="P17" s="782"/>
      <c r="Q17" s="782"/>
      <c r="R17" s="783"/>
      <c r="S17" s="1073">
        <f>DATE(YEAR($A$17),MONTH($A$17)+3,DAY($A$17))</f>
        <v>45628</v>
      </c>
      <c r="T17" s="1074">
        <f t="shared" ref="T17:T47" si="3">WEEKDAY(S17)</f>
        <v>2</v>
      </c>
      <c r="U17" s="775"/>
      <c r="V17" s="782"/>
      <c r="W17" s="782"/>
      <c r="X17" s="783"/>
      <c r="Y17" s="767">
        <f>DATE(YEAR($A$17),MONTH($A$17)+4,DAY($A$17))</f>
        <v>45659</v>
      </c>
      <c r="Z17" s="764">
        <f t="shared" ref="Z17:Z47" si="4">WEEKDAY(Y17)</f>
        <v>5</v>
      </c>
      <c r="AA17" s="775"/>
      <c r="AB17" s="776"/>
      <c r="AC17" s="776"/>
      <c r="AD17" s="777"/>
      <c r="AE17" s="774">
        <f>DATE(YEAR($A$17),MONTH($A$17)+5,DAY($A$17))</f>
        <v>45690</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45538</v>
      </c>
      <c r="B18" s="765">
        <f t="shared" si="0"/>
        <v>3</v>
      </c>
      <c r="C18" s="768"/>
      <c r="D18" s="704"/>
      <c r="E18" s="704"/>
      <c r="F18" s="708"/>
      <c r="G18" s="696">
        <f>G17+1</f>
        <v>45568</v>
      </c>
      <c r="H18" s="766">
        <f t="shared" si="1"/>
        <v>5</v>
      </c>
      <c r="I18" s="770"/>
      <c r="J18" s="705"/>
      <c r="K18" s="705"/>
      <c r="L18" s="708"/>
      <c r="M18" s="700">
        <f t="shared" ref="M18:M47" si="6">M17+1</f>
        <v>45599</v>
      </c>
      <c r="N18" s="766">
        <f t="shared" si="2"/>
        <v>1</v>
      </c>
      <c r="O18" s="770"/>
      <c r="P18" s="705"/>
      <c r="Q18" s="705"/>
      <c r="R18" s="708"/>
      <c r="S18" s="1075">
        <f>S17+1</f>
        <v>45629</v>
      </c>
      <c r="T18" s="1076">
        <f t="shared" si="3"/>
        <v>3</v>
      </c>
      <c r="U18" s="768"/>
      <c r="V18" s="704"/>
      <c r="W18" s="704"/>
      <c r="X18" s="708"/>
      <c r="Y18" s="696">
        <f t="shared" ref="Y18:Y47" si="7">Y17+1</f>
        <v>45660</v>
      </c>
      <c r="Z18" s="766">
        <f t="shared" si="4"/>
        <v>6</v>
      </c>
      <c r="AA18" s="770"/>
      <c r="AB18" s="705"/>
      <c r="AC18" s="705"/>
      <c r="AD18" s="708"/>
      <c r="AE18" s="700">
        <f t="shared" ref="AE18:AE47" si="8">AE17+1</f>
        <v>45691</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45539</v>
      </c>
      <c r="B19" s="765">
        <f t="shared" si="0"/>
        <v>4</v>
      </c>
      <c r="C19" s="769"/>
      <c r="D19" s="705"/>
      <c r="E19" s="705"/>
      <c r="F19" s="708"/>
      <c r="G19" s="696">
        <f t="shared" ref="G19:G47" si="10">G18+1</f>
        <v>45569</v>
      </c>
      <c r="H19" s="766">
        <f t="shared" si="1"/>
        <v>6</v>
      </c>
      <c r="I19" s="770"/>
      <c r="J19" s="705"/>
      <c r="K19" s="705"/>
      <c r="L19" s="708"/>
      <c r="M19" s="700">
        <f t="shared" si="6"/>
        <v>45600</v>
      </c>
      <c r="N19" s="766">
        <f t="shared" si="2"/>
        <v>2</v>
      </c>
      <c r="O19" s="770"/>
      <c r="P19" s="705"/>
      <c r="Q19" s="705"/>
      <c r="R19" s="708"/>
      <c r="S19" s="1075">
        <f t="shared" ref="S19:S47" si="11">S18+1</f>
        <v>45630</v>
      </c>
      <c r="T19" s="1076">
        <f t="shared" si="3"/>
        <v>4</v>
      </c>
      <c r="U19" s="769"/>
      <c r="V19" s="705"/>
      <c r="W19" s="705"/>
      <c r="X19" s="708"/>
      <c r="Y19" s="696">
        <f t="shared" si="7"/>
        <v>45661</v>
      </c>
      <c r="Z19" s="766">
        <f t="shared" si="4"/>
        <v>7</v>
      </c>
      <c r="AA19" s="770"/>
      <c r="AB19" s="705"/>
      <c r="AC19" s="705"/>
      <c r="AD19" s="708"/>
      <c r="AE19" s="700">
        <f t="shared" si="8"/>
        <v>45692</v>
      </c>
      <c r="AF19" s="766">
        <f t="shared" si="5"/>
        <v>3</v>
      </c>
      <c r="AG19" s="770"/>
      <c r="AH19" s="705"/>
      <c r="AI19" s="705"/>
      <c r="AJ19" s="708"/>
      <c r="AL19" s="695" t="str">
        <f>IF(OR($O$55&lt;$AR$4,$O$49&lt;$AR$7)=TRUE,"月3不","")</f>
        <v>月3不</v>
      </c>
      <c r="AO19" s="808"/>
      <c r="AP19" s="809"/>
    </row>
    <row r="20" spans="1:42" s="462" customFormat="1" ht="27" customHeight="1" thickBot="1">
      <c r="A20" s="761">
        <f t="shared" si="9"/>
        <v>45540</v>
      </c>
      <c r="B20" s="765">
        <f t="shared" si="0"/>
        <v>5</v>
      </c>
      <c r="C20" s="769"/>
      <c r="D20" s="705"/>
      <c r="E20" s="705"/>
      <c r="F20" s="708"/>
      <c r="G20" s="696">
        <f t="shared" si="10"/>
        <v>45570</v>
      </c>
      <c r="H20" s="766">
        <f t="shared" si="1"/>
        <v>7</v>
      </c>
      <c r="I20" s="770"/>
      <c r="J20" s="705"/>
      <c r="K20" s="705"/>
      <c r="L20" s="708"/>
      <c r="M20" s="700">
        <f t="shared" si="6"/>
        <v>45601</v>
      </c>
      <c r="N20" s="766">
        <f t="shared" si="2"/>
        <v>3</v>
      </c>
      <c r="O20" s="770"/>
      <c r="P20" s="705"/>
      <c r="Q20" s="705"/>
      <c r="R20" s="708"/>
      <c r="S20" s="1075">
        <f t="shared" si="11"/>
        <v>45631</v>
      </c>
      <c r="T20" s="1076">
        <f t="shared" si="3"/>
        <v>5</v>
      </c>
      <c r="U20" s="769"/>
      <c r="V20" s="705"/>
      <c r="W20" s="705"/>
      <c r="X20" s="708"/>
      <c r="Y20" s="696">
        <f t="shared" si="7"/>
        <v>45662</v>
      </c>
      <c r="Z20" s="766">
        <f t="shared" si="4"/>
        <v>1</v>
      </c>
      <c r="AA20" s="770"/>
      <c r="AB20" s="705"/>
      <c r="AC20" s="705"/>
      <c r="AD20" s="708"/>
      <c r="AE20" s="700">
        <f t="shared" si="8"/>
        <v>45693</v>
      </c>
      <c r="AF20" s="766">
        <f t="shared" si="5"/>
        <v>4</v>
      </c>
      <c r="AG20" s="770"/>
      <c r="AH20" s="705"/>
      <c r="AI20" s="705"/>
      <c r="AJ20" s="708"/>
      <c r="AL20" s="695" t="str">
        <f>IF(AND(DATE(YEAR($A$17),MONTH($A$17)+3,DAY($A$17))&lt;$C$3,OR($U$55&lt;$AR$4,$U$49&lt;$AR$7)=TRUE),"月4不","")</f>
        <v>月4不</v>
      </c>
      <c r="AO20" s="808"/>
      <c r="AP20" s="809"/>
    </row>
    <row r="21" spans="1:42" s="462" customFormat="1" ht="27" customHeight="1" thickBot="1">
      <c r="A21" s="761">
        <f t="shared" si="9"/>
        <v>45541</v>
      </c>
      <c r="B21" s="765">
        <f t="shared" si="0"/>
        <v>6</v>
      </c>
      <c r="C21" s="769"/>
      <c r="D21" s="705"/>
      <c r="E21" s="705"/>
      <c r="F21" s="708"/>
      <c r="G21" s="696">
        <f t="shared" si="10"/>
        <v>45571</v>
      </c>
      <c r="H21" s="766">
        <f t="shared" si="1"/>
        <v>1</v>
      </c>
      <c r="I21" s="770"/>
      <c r="J21" s="705"/>
      <c r="K21" s="705"/>
      <c r="L21" s="708"/>
      <c r="M21" s="700">
        <f t="shared" si="6"/>
        <v>45602</v>
      </c>
      <c r="N21" s="766">
        <f t="shared" si="2"/>
        <v>4</v>
      </c>
      <c r="O21" s="770"/>
      <c r="P21" s="705"/>
      <c r="Q21" s="705"/>
      <c r="R21" s="708"/>
      <c r="S21" s="1075">
        <f t="shared" si="11"/>
        <v>45632</v>
      </c>
      <c r="T21" s="1076">
        <f t="shared" si="3"/>
        <v>6</v>
      </c>
      <c r="U21" s="769"/>
      <c r="V21" s="705"/>
      <c r="W21" s="705"/>
      <c r="X21" s="708"/>
      <c r="Y21" s="696">
        <f t="shared" si="7"/>
        <v>45663</v>
      </c>
      <c r="Z21" s="766">
        <f t="shared" si="4"/>
        <v>2</v>
      </c>
      <c r="AA21" s="770"/>
      <c r="AB21" s="705"/>
      <c r="AC21" s="705"/>
      <c r="AD21" s="708"/>
      <c r="AE21" s="700">
        <f t="shared" si="8"/>
        <v>45694</v>
      </c>
      <c r="AF21" s="766">
        <f t="shared" si="5"/>
        <v>5</v>
      </c>
      <c r="AG21" s="770"/>
      <c r="AH21" s="705"/>
      <c r="AI21" s="705"/>
      <c r="AJ21" s="708"/>
      <c r="AL21" s="695" t="str">
        <f>IF(AND(DATE(YEAR($A$17),MONTH($A$17)+4,DAY($A$17))&lt;$C$3,OR($AA$55&lt;$AR$4,$AA$49&lt;$AR$7)=TRUE),"月5不","")</f>
        <v>月5不</v>
      </c>
      <c r="AO21" s="808"/>
      <c r="AP21" s="809"/>
    </row>
    <row r="22" spans="1:42" s="462" customFormat="1" ht="27" customHeight="1" thickBot="1">
      <c r="A22" s="761">
        <f t="shared" si="9"/>
        <v>45542</v>
      </c>
      <c r="B22" s="765">
        <f t="shared" si="0"/>
        <v>7</v>
      </c>
      <c r="C22" s="769"/>
      <c r="D22" s="705"/>
      <c r="E22" s="705"/>
      <c r="F22" s="708"/>
      <c r="G22" s="696">
        <f t="shared" si="10"/>
        <v>45572</v>
      </c>
      <c r="H22" s="766">
        <f t="shared" si="1"/>
        <v>2</v>
      </c>
      <c r="I22" s="770"/>
      <c r="J22" s="705"/>
      <c r="K22" s="705"/>
      <c r="L22" s="708"/>
      <c r="M22" s="700">
        <f t="shared" si="6"/>
        <v>45603</v>
      </c>
      <c r="N22" s="766">
        <f t="shared" si="2"/>
        <v>5</v>
      </c>
      <c r="O22" s="770"/>
      <c r="P22" s="705"/>
      <c r="Q22" s="705"/>
      <c r="R22" s="708"/>
      <c r="S22" s="1075">
        <f t="shared" si="11"/>
        <v>45633</v>
      </c>
      <c r="T22" s="1076">
        <f t="shared" si="3"/>
        <v>7</v>
      </c>
      <c r="U22" s="769"/>
      <c r="V22" s="705"/>
      <c r="W22" s="705"/>
      <c r="X22" s="708"/>
      <c r="Y22" s="696">
        <f t="shared" si="7"/>
        <v>45664</v>
      </c>
      <c r="Z22" s="766">
        <f t="shared" si="4"/>
        <v>3</v>
      </c>
      <c r="AA22" s="770"/>
      <c r="AB22" s="705"/>
      <c r="AC22" s="705"/>
      <c r="AD22" s="708"/>
      <c r="AE22" s="700">
        <f t="shared" si="8"/>
        <v>45695</v>
      </c>
      <c r="AF22" s="766">
        <f t="shared" si="5"/>
        <v>6</v>
      </c>
      <c r="AG22" s="770"/>
      <c r="AH22" s="705"/>
      <c r="AI22" s="705"/>
      <c r="AJ22" s="708"/>
      <c r="AL22" s="698" t="str">
        <f>IF(AND(DATE(YEAR($A$17),MONTH($A$17)+5,DAY($A$17))&lt;$C$3,OR($AG$55&lt;$AR$4,$AG$49&lt;$AR$7)=TRUE),"月6不","")</f>
        <v>月6不</v>
      </c>
      <c r="AO22" s="808"/>
      <c r="AP22" s="809"/>
    </row>
    <row r="23" spans="1:42" s="462" customFormat="1" ht="27" customHeight="1" thickBot="1">
      <c r="A23" s="761">
        <f t="shared" si="9"/>
        <v>45543</v>
      </c>
      <c r="B23" s="765">
        <f t="shared" si="0"/>
        <v>1</v>
      </c>
      <c r="C23" s="770"/>
      <c r="D23" s="705"/>
      <c r="E23" s="705"/>
      <c r="F23" s="708"/>
      <c r="G23" s="696">
        <f t="shared" si="10"/>
        <v>45573</v>
      </c>
      <c r="H23" s="766">
        <f t="shared" si="1"/>
        <v>3</v>
      </c>
      <c r="I23" s="770"/>
      <c r="J23" s="705"/>
      <c r="K23" s="705"/>
      <c r="L23" s="708"/>
      <c r="M23" s="700">
        <f t="shared" si="6"/>
        <v>45604</v>
      </c>
      <c r="N23" s="766">
        <f t="shared" si="2"/>
        <v>6</v>
      </c>
      <c r="O23" s="770"/>
      <c r="P23" s="705"/>
      <c r="Q23" s="705"/>
      <c r="R23" s="708"/>
      <c r="S23" s="1075">
        <f t="shared" si="11"/>
        <v>45634</v>
      </c>
      <c r="T23" s="1076">
        <f t="shared" si="3"/>
        <v>1</v>
      </c>
      <c r="U23" s="769"/>
      <c r="V23" s="705"/>
      <c r="W23" s="705"/>
      <c r="X23" s="708"/>
      <c r="Y23" s="696">
        <f t="shared" si="7"/>
        <v>45665</v>
      </c>
      <c r="Z23" s="766">
        <f t="shared" si="4"/>
        <v>4</v>
      </c>
      <c r="AA23" s="770"/>
      <c r="AB23" s="705"/>
      <c r="AC23" s="705"/>
      <c r="AD23" s="708"/>
      <c r="AE23" s="700">
        <f t="shared" si="8"/>
        <v>45696</v>
      </c>
      <c r="AF23" s="766">
        <f t="shared" si="5"/>
        <v>7</v>
      </c>
      <c r="AG23" s="770"/>
      <c r="AH23" s="705"/>
      <c r="AI23" s="705"/>
      <c r="AJ23" s="708"/>
      <c r="AL23" s="695" t="str">
        <f>IF($C$55&gt;$AT$4,"月1超","")</f>
        <v/>
      </c>
      <c r="AO23" s="808"/>
      <c r="AP23" s="809"/>
    </row>
    <row r="24" spans="1:42" s="462" customFormat="1" ht="27" customHeight="1" thickBot="1">
      <c r="A24" s="761">
        <f t="shared" si="9"/>
        <v>45544</v>
      </c>
      <c r="B24" s="765">
        <f t="shared" si="0"/>
        <v>2</v>
      </c>
      <c r="C24" s="769"/>
      <c r="D24" s="705"/>
      <c r="E24" s="705"/>
      <c r="F24" s="708"/>
      <c r="G24" s="700">
        <f t="shared" si="10"/>
        <v>45574</v>
      </c>
      <c r="H24" s="765">
        <f t="shared" si="1"/>
        <v>4</v>
      </c>
      <c r="I24" s="769"/>
      <c r="J24" s="705"/>
      <c r="K24" s="705"/>
      <c r="L24" s="708"/>
      <c r="M24" s="700">
        <f t="shared" si="6"/>
        <v>45605</v>
      </c>
      <c r="N24" s="766">
        <f t="shared" si="2"/>
        <v>7</v>
      </c>
      <c r="O24" s="770"/>
      <c r="P24" s="705"/>
      <c r="Q24" s="705"/>
      <c r="R24" s="708"/>
      <c r="S24" s="1075">
        <f t="shared" si="11"/>
        <v>45635</v>
      </c>
      <c r="T24" s="1076">
        <f t="shared" si="3"/>
        <v>2</v>
      </c>
      <c r="U24" s="770"/>
      <c r="V24" s="705"/>
      <c r="W24" s="705"/>
      <c r="X24" s="708"/>
      <c r="Y24" s="700">
        <f t="shared" si="7"/>
        <v>45666</v>
      </c>
      <c r="Z24" s="765">
        <f t="shared" si="4"/>
        <v>5</v>
      </c>
      <c r="AA24" s="769"/>
      <c r="AB24" s="705"/>
      <c r="AC24" s="705"/>
      <c r="AD24" s="708"/>
      <c r="AE24" s="700">
        <f t="shared" si="8"/>
        <v>45697</v>
      </c>
      <c r="AF24" s="766">
        <f t="shared" si="5"/>
        <v>1</v>
      </c>
      <c r="AG24" s="770"/>
      <c r="AH24" s="705"/>
      <c r="AI24" s="705"/>
      <c r="AJ24" s="708"/>
      <c r="AL24" s="695" t="str">
        <f>IF($I$55&gt;$AT$4,"月2超","")</f>
        <v/>
      </c>
      <c r="AO24" s="808"/>
      <c r="AP24" s="809"/>
    </row>
    <row r="25" spans="1:42" s="462" customFormat="1" ht="27" customHeight="1" thickBot="1">
      <c r="A25" s="761">
        <f t="shared" si="9"/>
        <v>45545</v>
      </c>
      <c r="B25" s="765">
        <f t="shared" si="0"/>
        <v>3</v>
      </c>
      <c r="C25" s="769"/>
      <c r="D25" s="705"/>
      <c r="E25" s="705"/>
      <c r="F25" s="708"/>
      <c r="G25" s="696">
        <f t="shared" si="10"/>
        <v>45575</v>
      </c>
      <c r="H25" s="766">
        <f t="shared" si="1"/>
        <v>5</v>
      </c>
      <c r="I25" s="768"/>
      <c r="J25" s="704"/>
      <c r="K25" s="704"/>
      <c r="L25" s="709"/>
      <c r="M25" s="700">
        <f t="shared" si="6"/>
        <v>45606</v>
      </c>
      <c r="N25" s="765">
        <f t="shared" si="2"/>
        <v>1</v>
      </c>
      <c r="O25" s="770"/>
      <c r="P25" s="705"/>
      <c r="Q25" s="705"/>
      <c r="R25" s="708"/>
      <c r="S25" s="1075">
        <f t="shared" si="11"/>
        <v>45636</v>
      </c>
      <c r="T25" s="1076">
        <f t="shared" si="3"/>
        <v>3</v>
      </c>
      <c r="U25" s="769"/>
      <c r="V25" s="705"/>
      <c r="W25" s="705"/>
      <c r="X25" s="708"/>
      <c r="Y25" s="696">
        <f t="shared" si="7"/>
        <v>45667</v>
      </c>
      <c r="Z25" s="766">
        <f t="shared" si="4"/>
        <v>6</v>
      </c>
      <c r="AA25" s="768"/>
      <c r="AB25" s="704"/>
      <c r="AC25" s="704"/>
      <c r="AD25" s="709"/>
      <c r="AE25" s="700">
        <f t="shared" si="8"/>
        <v>45698</v>
      </c>
      <c r="AF25" s="765">
        <f t="shared" si="5"/>
        <v>2</v>
      </c>
      <c r="AG25" s="770"/>
      <c r="AH25" s="705"/>
      <c r="AI25" s="705"/>
      <c r="AJ25" s="708"/>
      <c r="AL25" s="695" t="str">
        <f>IF($O$55&gt;$AT$4,"月3超","")</f>
        <v/>
      </c>
      <c r="AO25" s="808"/>
      <c r="AP25" s="809"/>
    </row>
    <row r="26" spans="1:42" s="462" customFormat="1" ht="27" customHeight="1" thickBot="1">
      <c r="A26" s="761">
        <f t="shared" si="9"/>
        <v>45546</v>
      </c>
      <c r="B26" s="765">
        <f t="shared" si="0"/>
        <v>4</v>
      </c>
      <c r="C26" s="769"/>
      <c r="D26" s="705"/>
      <c r="E26" s="705"/>
      <c r="F26" s="708"/>
      <c r="G26" s="696">
        <f t="shared" si="10"/>
        <v>45576</v>
      </c>
      <c r="H26" s="766">
        <f t="shared" si="1"/>
        <v>6</v>
      </c>
      <c r="I26" s="770"/>
      <c r="J26" s="705"/>
      <c r="K26" s="705"/>
      <c r="L26" s="708"/>
      <c r="M26" s="696">
        <f t="shared" si="6"/>
        <v>45607</v>
      </c>
      <c r="N26" s="766">
        <f t="shared" si="2"/>
        <v>2</v>
      </c>
      <c r="O26" s="768"/>
      <c r="P26" s="704"/>
      <c r="Q26" s="704"/>
      <c r="R26" s="709"/>
      <c r="S26" s="1075">
        <f t="shared" si="11"/>
        <v>45637</v>
      </c>
      <c r="T26" s="1076">
        <f t="shared" si="3"/>
        <v>4</v>
      </c>
      <c r="U26" s="769"/>
      <c r="V26" s="705"/>
      <c r="W26" s="705"/>
      <c r="X26" s="708"/>
      <c r="Y26" s="696">
        <f t="shared" si="7"/>
        <v>45668</v>
      </c>
      <c r="Z26" s="766">
        <f t="shared" si="4"/>
        <v>7</v>
      </c>
      <c r="AA26" s="770"/>
      <c r="AB26" s="705"/>
      <c r="AC26" s="705"/>
      <c r="AD26" s="708"/>
      <c r="AE26" s="696">
        <f t="shared" si="8"/>
        <v>45699</v>
      </c>
      <c r="AF26" s="766">
        <f t="shared" si="5"/>
        <v>3</v>
      </c>
      <c r="AG26" s="768"/>
      <c r="AH26" s="704"/>
      <c r="AI26" s="704"/>
      <c r="AJ26" s="709"/>
      <c r="AL26" s="695" t="str">
        <f>IF($U$55&gt;$AT$4,"月4超","")</f>
        <v/>
      </c>
      <c r="AO26" s="808"/>
      <c r="AP26" s="809"/>
    </row>
    <row r="27" spans="1:42" s="462" customFormat="1" ht="27" customHeight="1" thickBot="1">
      <c r="A27" s="762">
        <f t="shared" si="9"/>
        <v>45547</v>
      </c>
      <c r="B27" s="766">
        <f t="shared" si="0"/>
        <v>5</v>
      </c>
      <c r="C27" s="771"/>
      <c r="D27" s="704"/>
      <c r="E27" s="704"/>
      <c r="F27" s="709"/>
      <c r="G27" s="696">
        <f t="shared" si="10"/>
        <v>45577</v>
      </c>
      <c r="H27" s="766">
        <f t="shared" si="1"/>
        <v>7</v>
      </c>
      <c r="I27" s="770"/>
      <c r="J27" s="705"/>
      <c r="K27" s="705"/>
      <c r="L27" s="708"/>
      <c r="M27" s="696">
        <f t="shared" si="6"/>
        <v>45608</v>
      </c>
      <c r="N27" s="766">
        <f t="shared" si="2"/>
        <v>3</v>
      </c>
      <c r="O27" s="768"/>
      <c r="P27" s="704"/>
      <c r="Q27" s="704"/>
      <c r="R27" s="709"/>
      <c r="S27" s="1077">
        <f t="shared" si="11"/>
        <v>45638</v>
      </c>
      <c r="T27" s="1078">
        <f t="shared" si="3"/>
        <v>5</v>
      </c>
      <c r="U27" s="771"/>
      <c r="V27" s="704"/>
      <c r="W27" s="704"/>
      <c r="X27" s="709"/>
      <c r="Y27" s="696">
        <f t="shared" si="7"/>
        <v>45669</v>
      </c>
      <c r="Z27" s="766">
        <f t="shared" si="4"/>
        <v>1</v>
      </c>
      <c r="AA27" s="770"/>
      <c r="AB27" s="705"/>
      <c r="AC27" s="705"/>
      <c r="AD27" s="708"/>
      <c r="AE27" s="696">
        <f t="shared" si="8"/>
        <v>45700</v>
      </c>
      <c r="AF27" s="766">
        <f t="shared" si="5"/>
        <v>4</v>
      </c>
      <c r="AG27" s="768"/>
      <c r="AH27" s="704"/>
      <c r="AI27" s="704"/>
      <c r="AJ27" s="709"/>
      <c r="AL27" s="695" t="str">
        <f>IF($AA$55&gt;$AT$4,"月5超","")</f>
        <v/>
      </c>
      <c r="AO27" s="808"/>
      <c r="AP27" s="809"/>
    </row>
    <row r="28" spans="1:42" s="462" customFormat="1" ht="27" customHeight="1" thickBot="1">
      <c r="A28" s="761">
        <f t="shared" si="9"/>
        <v>45548</v>
      </c>
      <c r="B28" s="765">
        <f t="shared" si="0"/>
        <v>6</v>
      </c>
      <c r="C28" s="768"/>
      <c r="D28" s="704"/>
      <c r="E28" s="704"/>
      <c r="F28" s="709"/>
      <c r="G28" s="696">
        <f t="shared" si="10"/>
        <v>45578</v>
      </c>
      <c r="H28" s="766">
        <f t="shared" si="1"/>
        <v>1</v>
      </c>
      <c r="I28" s="770"/>
      <c r="J28" s="705"/>
      <c r="K28" s="705"/>
      <c r="L28" s="708"/>
      <c r="M28" s="700">
        <f t="shared" si="6"/>
        <v>45609</v>
      </c>
      <c r="N28" s="766">
        <f t="shared" si="2"/>
        <v>4</v>
      </c>
      <c r="O28" s="768"/>
      <c r="P28" s="705"/>
      <c r="Q28" s="705"/>
      <c r="R28" s="708"/>
      <c r="S28" s="1075">
        <f t="shared" si="11"/>
        <v>45639</v>
      </c>
      <c r="T28" s="1076">
        <f t="shared" si="3"/>
        <v>6</v>
      </c>
      <c r="U28" s="768"/>
      <c r="V28" s="704"/>
      <c r="W28" s="704"/>
      <c r="X28" s="709"/>
      <c r="Y28" s="696">
        <f t="shared" si="7"/>
        <v>45670</v>
      </c>
      <c r="Z28" s="766">
        <f t="shared" si="4"/>
        <v>2</v>
      </c>
      <c r="AA28" s="770"/>
      <c r="AB28" s="705"/>
      <c r="AC28" s="705"/>
      <c r="AD28" s="708"/>
      <c r="AE28" s="700">
        <f t="shared" si="8"/>
        <v>45701</v>
      </c>
      <c r="AF28" s="766">
        <f t="shared" si="5"/>
        <v>5</v>
      </c>
      <c r="AG28" s="770"/>
      <c r="AH28" s="705"/>
      <c r="AI28" s="705"/>
      <c r="AJ28" s="708"/>
      <c r="AL28" s="698" t="str">
        <f>IF($AG$55&gt;$AT$4,"月6超","")</f>
        <v/>
      </c>
      <c r="AO28" s="808"/>
      <c r="AP28" s="809"/>
    </row>
    <row r="29" spans="1:42" s="462" customFormat="1" ht="27" customHeight="1" thickBot="1">
      <c r="A29" s="761">
        <f t="shared" si="9"/>
        <v>45549</v>
      </c>
      <c r="B29" s="765">
        <f t="shared" si="0"/>
        <v>7</v>
      </c>
      <c r="C29" s="769"/>
      <c r="D29" s="705"/>
      <c r="E29" s="705"/>
      <c r="F29" s="708"/>
      <c r="G29" s="696">
        <f t="shared" si="10"/>
        <v>45579</v>
      </c>
      <c r="H29" s="766">
        <f t="shared" si="1"/>
        <v>2</v>
      </c>
      <c r="I29" s="770"/>
      <c r="J29" s="705"/>
      <c r="K29" s="705"/>
      <c r="L29" s="708"/>
      <c r="M29" s="700">
        <f t="shared" si="6"/>
        <v>45610</v>
      </c>
      <c r="N29" s="766">
        <f t="shared" si="2"/>
        <v>5</v>
      </c>
      <c r="O29" s="770"/>
      <c r="P29" s="705"/>
      <c r="Q29" s="705"/>
      <c r="R29" s="708"/>
      <c r="S29" s="1075">
        <f t="shared" si="11"/>
        <v>45640</v>
      </c>
      <c r="T29" s="1076">
        <f t="shared" si="3"/>
        <v>7</v>
      </c>
      <c r="U29" s="769"/>
      <c r="V29" s="705"/>
      <c r="W29" s="705"/>
      <c r="X29" s="708"/>
      <c r="Y29" s="696">
        <f t="shared" si="7"/>
        <v>45671</v>
      </c>
      <c r="Z29" s="766">
        <f t="shared" si="4"/>
        <v>3</v>
      </c>
      <c r="AA29" s="770"/>
      <c r="AB29" s="705"/>
      <c r="AC29" s="705"/>
      <c r="AD29" s="708"/>
      <c r="AE29" s="700">
        <f t="shared" si="8"/>
        <v>45702</v>
      </c>
      <c r="AF29" s="766">
        <f t="shared" si="5"/>
        <v>6</v>
      </c>
      <c r="AG29" s="770"/>
      <c r="AH29" s="705"/>
      <c r="AI29" s="705"/>
      <c r="AJ29" s="708"/>
      <c r="AL29" s="699"/>
      <c r="AO29" s="808"/>
      <c r="AP29" s="809"/>
    </row>
    <row r="30" spans="1:42" s="462" customFormat="1" ht="27" customHeight="1" thickBot="1">
      <c r="A30" s="761">
        <f t="shared" si="9"/>
        <v>45550</v>
      </c>
      <c r="B30" s="765">
        <f t="shared" si="0"/>
        <v>1</v>
      </c>
      <c r="C30" s="769"/>
      <c r="D30" s="705"/>
      <c r="E30" s="705"/>
      <c r="F30" s="708"/>
      <c r="G30" s="696">
        <f t="shared" si="10"/>
        <v>45580</v>
      </c>
      <c r="H30" s="766">
        <f t="shared" si="1"/>
        <v>3</v>
      </c>
      <c r="I30" s="770"/>
      <c r="J30" s="705"/>
      <c r="K30" s="705"/>
      <c r="L30" s="708"/>
      <c r="M30" s="700">
        <f t="shared" si="6"/>
        <v>45611</v>
      </c>
      <c r="N30" s="766">
        <f t="shared" si="2"/>
        <v>6</v>
      </c>
      <c r="O30" s="770"/>
      <c r="P30" s="705"/>
      <c r="Q30" s="705"/>
      <c r="R30" s="708"/>
      <c r="S30" s="1075">
        <f t="shared" si="11"/>
        <v>45641</v>
      </c>
      <c r="T30" s="1076">
        <f t="shared" si="3"/>
        <v>1</v>
      </c>
      <c r="U30" s="769"/>
      <c r="V30" s="705"/>
      <c r="W30" s="705"/>
      <c r="X30" s="708"/>
      <c r="Y30" s="696">
        <f t="shared" si="7"/>
        <v>45672</v>
      </c>
      <c r="Z30" s="766">
        <f t="shared" si="4"/>
        <v>4</v>
      </c>
      <c r="AA30" s="770"/>
      <c r="AB30" s="705"/>
      <c r="AC30" s="705"/>
      <c r="AD30" s="708"/>
      <c r="AE30" s="700">
        <f t="shared" si="8"/>
        <v>45703</v>
      </c>
      <c r="AF30" s="766">
        <f t="shared" si="5"/>
        <v>7</v>
      </c>
      <c r="AG30" s="770"/>
      <c r="AH30" s="705"/>
      <c r="AI30" s="705"/>
      <c r="AJ30" s="708"/>
      <c r="AL30" s="698" t="str">
        <f>IF(J8&lt;&gt;M8,"総不一","")</f>
        <v/>
      </c>
      <c r="AO30" s="808"/>
      <c r="AP30" s="809"/>
    </row>
    <row r="31" spans="1:42" s="462" customFormat="1" ht="27" customHeight="1" thickBot="1">
      <c r="A31" s="761">
        <f t="shared" si="9"/>
        <v>45551</v>
      </c>
      <c r="B31" s="765">
        <f t="shared" si="0"/>
        <v>2</v>
      </c>
      <c r="C31" s="769"/>
      <c r="D31" s="705"/>
      <c r="E31" s="705"/>
      <c r="F31" s="708"/>
      <c r="G31" s="696">
        <f t="shared" si="10"/>
        <v>45581</v>
      </c>
      <c r="H31" s="766">
        <f t="shared" si="1"/>
        <v>4</v>
      </c>
      <c r="I31" s="770"/>
      <c r="J31" s="705"/>
      <c r="K31" s="705"/>
      <c r="L31" s="708"/>
      <c r="M31" s="700">
        <f t="shared" si="6"/>
        <v>45612</v>
      </c>
      <c r="N31" s="766">
        <f t="shared" si="2"/>
        <v>7</v>
      </c>
      <c r="O31" s="768"/>
      <c r="P31" s="705"/>
      <c r="Q31" s="705"/>
      <c r="R31" s="708"/>
      <c r="S31" s="1075">
        <f t="shared" si="11"/>
        <v>45642</v>
      </c>
      <c r="T31" s="1076">
        <f t="shared" si="3"/>
        <v>2</v>
      </c>
      <c r="U31" s="769"/>
      <c r="V31" s="705"/>
      <c r="W31" s="705"/>
      <c r="X31" s="708"/>
      <c r="Y31" s="696">
        <f t="shared" si="7"/>
        <v>45673</v>
      </c>
      <c r="Z31" s="766">
        <f t="shared" si="4"/>
        <v>5</v>
      </c>
      <c r="AA31" s="770"/>
      <c r="AB31" s="705"/>
      <c r="AC31" s="705"/>
      <c r="AD31" s="708"/>
      <c r="AE31" s="700">
        <f t="shared" si="8"/>
        <v>45704</v>
      </c>
      <c r="AF31" s="766">
        <f t="shared" si="5"/>
        <v>1</v>
      </c>
      <c r="AG31" s="770"/>
      <c r="AH31" s="705"/>
      <c r="AI31" s="705"/>
      <c r="AJ31" s="708"/>
      <c r="AL31" s="698" t="str">
        <f>IF(J9&lt;&gt;M9,"学不一","")</f>
        <v/>
      </c>
      <c r="AO31" s="808"/>
      <c r="AP31" s="809"/>
    </row>
    <row r="32" spans="1:42" s="462" customFormat="1" ht="27" customHeight="1" thickBot="1">
      <c r="A32" s="761">
        <f t="shared" si="9"/>
        <v>45552</v>
      </c>
      <c r="B32" s="765">
        <f t="shared" si="0"/>
        <v>3</v>
      </c>
      <c r="C32" s="769"/>
      <c r="D32" s="705"/>
      <c r="E32" s="705"/>
      <c r="F32" s="708"/>
      <c r="G32" s="696">
        <f t="shared" si="10"/>
        <v>45582</v>
      </c>
      <c r="H32" s="766">
        <f t="shared" si="1"/>
        <v>5</v>
      </c>
      <c r="I32" s="770"/>
      <c r="J32" s="705"/>
      <c r="K32" s="705"/>
      <c r="L32" s="708"/>
      <c r="M32" s="700">
        <f t="shared" si="6"/>
        <v>45613</v>
      </c>
      <c r="N32" s="766">
        <f t="shared" si="2"/>
        <v>1</v>
      </c>
      <c r="O32" s="768"/>
      <c r="P32" s="705"/>
      <c r="Q32" s="705"/>
      <c r="R32" s="708"/>
      <c r="S32" s="1075">
        <f t="shared" si="11"/>
        <v>45643</v>
      </c>
      <c r="T32" s="1076">
        <f t="shared" si="3"/>
        <v>3</v>
      </c>
      <c r="U32" s="769"/>
      <c r="V32" s="705"/>
      <c r="W32" s="705"/>
      <c r="X32" s="708"/>
      <c r="Y32" s="696">
        <f t="shared" si="7"/>
        <v>45674</v>
      </c>
      <c r="Z32" s="766">
        <f t="shared" si="4"/>
        <v>6</v>
      </c>
      <c r="AA32" s="770"/>
      <c r="AB32" s="705"/>
      <c r="AC32" s="705"/>
      <c r="AD32" s="708"/>
      <c r="AE32" s="700">
        <f t="shared" si="8"/>
        <v>45705</v>
      </c>
      <c r="AF32" s="766">
        <f t="shared" si="5"/>
        <v>2</v>
      </c>
      <c r="AG32" s="770"/>
      <c r="AH32" s="705"/>
      <c r="AI32" s="705"/>
      <c r="AJ32" s="708"/>
      <c r="AL32" s="698" t="str">
        <f>IF(J10&lt;&gt;M10,"実不一","")</f>
        <v/>
      </c>
      <c r="AO32" s="808"/>
      <c r="AP32" s="809"/>
    </row>
    <row r="33" spans="1:42" s="462" customFormat="1" ht="27" customHeight="1" thickBot="1">
      <c r="A33" s="761">
        <f t="shared" si="9"/>
        <v>45553</v>
      </c>
      <c r="B33" s="765">
        <f t="shared" si="0"/>
        <v>4</v>
      </c>
      <c r="C33" s="769"/>
      <c r="D33" s="705"/>
      <c r="E33" s="705"/>
      <c r="F33" s="708"/>
      <c r="G33" s="696">
        <f t="shared" si="10"/>
        <v>45583</v>
      </c>
      <c r="H33" s="766">
        <f t="shared" si="1"/>
        <v>6</v>
      </c>
      <c r="I33" s="770"/>
      <c r="J33" s="705"/>
      <c r="K33" s="705"/>
      <c r="L33" s="708"/>
      <c r="M33" s="700">
        <f t="shared" si="6"/>
        <v>45614</v>
      </c>
      <c r="N33" s="766">
        <f t="shared" si="2"/>
        <v>2</v>
      </c>
      <c r="O33" s="770"/>
      <c r="P33" s="705"/>
      <c r="Q33" s="705"/>
      <c r="R33" s="708"/>
      <c r="S33" s="1075">
        <f t="shared" si="11"/>
        <v>45644</v>
      </c>
      <c r="T33" s="1076">
        <f t="shared" si="3"/>
        <v>4</v>
      </c>
      <c r="U33" s="769"/>
      <c r="V33" s="705"/>
      <c r="W33" s="705"/>
      <c r="X33" s="708"/>
      <c r="Y33" s="696">
        <f t="shared" si="7"/>
        <v>45675</v>
      </c>
      <c r="Z33" s="766">
        <f t="shared" si="4"/>
        <v>7</v>
      </c>
      <c r="AA33" s="770"/>
      <c r="AB33" s="705"/>
      <c r="AC33" s="705"/>
      <c r="AD33" s="708"/>
      <c r="AE33" s="700">
        <f t="shared" si="8"/>
        <v>45706</v>
      </c>
      <c r="AF33" s="766">
        <f t="shared" si="5"/>
        <v>3</v>
      </c>
      <c r="AG33" s="770"/>
      <c r="AH33" s="705"/>
      <c r="AI33" s="705"/>
      <c r="AJ33" s="708"/>
      <c r="AL33" s="698" t="str">
        <f>IF(J11&lt;&gt;M11,"就不一","")</f>
        <v/>
      </c>
      <c r="AO33" s="808"/>
      <c r="AP33" s="809"/>
    </row>
    <row r="34" spans="1:42" s="462" customFormat="1" ht="27" customHeight="1" thickBot="1">
      <c r="A34" s="761">
        <f t="shared" si="9"/>
        <v>45554</v>
      </c>
      <c r="B34" s="765">
        <f t="shared" si="0"/>
        <v>5</v>
      </c>
      <c r="C34" s="769"/>
      <c r="D34" s="705"/>
      <c r="E34" s="705"/>
      <c r="F34" s="708"/>
      <c r="G34" s="696">
        <f t="shared" si="10"/>
        <v>45584</v>
      </c>
      <c r="H34" s="766">
        <f t="shared" si="1"/>
        <v>7</v>
      </c>
      <c r="I34" s="770"/>
      <c r="J34" s="705"/>
      <c r="K34" s="705"/>
      <c r="L34" s="708"/>
      <c r="M34" s="700">
        <f t="shared" si="6"/>
        <v>45615</v>
      </c>
      <c r="N34" s="765">
        <f t="shared" si="2"/>
        <v>3</v>
      </c>
      <c r="O34" s="768"/>
      <c r="P34" s="705"/>
      <c r="Q34" s="705"/>
      <c r="R34" s="708"/>
      <c r="S34" s="1075">
        <f t="shared" si="11"/>
        <v>45645</v>
      </c>
      <c r="T34" s="1076">
        <f t="shared" si="3"/>
        <v>5</v>
      </c>
      <c r="U34" s="769"/>
      <c r="V34" s="705"/>
      <c r="W34" s="705"/>
      <c r="X34" s="708"/>
      <c r="Y34" s="696">
        <f t="shared" si="7"/>
        <v>45676</v>
      </c>
      <c r="Z34" s="766">
        <f t="shared" si="4"/>
        <v>1</v>
      </c>
      <c r="AA34" s="770"/>
      <c r="AB34" s="705"/>
      <c r="AC34" s="705"/>
      <c r="AD34" s="708"/>
      <c r="AE34" s="700">
        <f t="shared" si="8"/>
        <v>45707</v>
      </c>
      <c r="AF34" s="765">
        <f t="shared" si="5"/>
        <v>4</v>
      </c>
      <c r="AG34" s="769"/>
      <c r="AH34" s="705"/>
      <c r="AI34" s="705"/>
      <c r="AJ34" s="708"/>
      <c r="AL34" s="699"/>
      <c r="AO34" s="808"/>
      <c r="AP34" s="809"/>
    </row>
    <row r="35" spans="1:42" s="462" customFormat="1" ht="27" customHeight="1" thickBot="1">
      <c r="A35" s="761">
        <f t="shared" si="9"/>
        <v>45555</v>
      </c>
      <c r="B35" s="765">
        <f t="shared" si="0"/>
        <v>6</v>
      </c>
      <c r="C35" s="768"/>
      <c r="D35" s="704"/>
      <c r="E35" s="704"/>
      <c r="F35" s="709"/>
      <c r="G35" s="696">
        <f t="shared" si="10"/>
        <v>45585</v>
      </c>
      <c r="H35" s="766">
        <f t="shared" si="1"/>
        <v>1</v>
      </c>
      <c r="I35" s="768"/>
      <c r="J35" s="704"/>
      <c r="K35" s="704"/>
      <c r="L35" s="709"/>
      <c r="M35" s="700">
        <f t="shared" si="6"/>
        <v>45616</v>
      </c>
      <c r="N35" s="766">
        <f t="shared" si="2"/>
        <v>4</v>
      </c>
      <c r="O35" s="768"/>
      <c r="P35" s="705"/>
      <c r="Q35" s="705"/>
      <c r="R35" s="708"/>
      <c r="S35" s="1075">
        <f t="shared" si="11"/>
        <v>45646</v>
      </c>
      <c r="T35" s="1076">
        <f t="shared" si="3"/>
        <v>6</v>
      </c>
      <c r="U35" s="768"/>
      <c r="V35" s="704"/>
      <c r="W35" s="704"/>
      <c r="X35" s="709"/>
      <c r="Y35" s="696">
        <f t="shared" si="7"/>
        <v>45677</v>
      </c>
      <c r="Z35" s="766">
        <f t="shared" si="4"/>
        <v>2</v>
      </c>
      <c r="AA35" s="768"/>
      <c r="AB35" s="704"/>
      <c r="AC35" s="704"/>
      <c r="AD35" s="709"/>
      <c r="AE35" s="700">
        <f t="shared" si="8"/>
        <v>45708</v>
      </c>
      <c r="AF35" s="766">
        <f t="shared" si="5"/>
        <v>5</v>
      </c>
      <c r="AG35" s="770"/>
      <c r="AH35" s="705"/>
      <c r="AI35" s="705"/>
      <c r="AJ35" s="708"/>
      <c r="AL35" s="698" t="str">
        <f>IF(($M$9+$M$10)&lt;$AR$3,"実訓不","")</f>
        <v>実訓不</v>
      </c>
      <c r="AO35" s="808"/>
      <c r="AP35" s="809"/>
    </row>
    <row r="36" spans="1:42" s="462" customFormat="1" ht="27" customHeight="1" thickBot="1">
      <c r="A36" s="761">
        <f t="shared" si="9"/>
        <v>45556</v>
      </c>
      <c r="B36" s="765">
        <f t="shared" si="0"/>
        <v>7</v>
      </c>
      <c r="C36" s="769"/>
      <c r="D36" s="705"/>
      <c r="E36" s="705"/>
      <c r="F36" s="708"/>
      <c r="G36" s="700">
        <f t="shared" si="10"/>
        <v>45586</v>
      </c>
      <c r="H36" s="765">
        <f t="shared" si="1"/>
        <v>2</v>
      </c>
      <c r="I36" s="769"/>
      <c r="J36" s="705"/>
      <c r="K36" s="705"/>
      <c r="L36" s="708"/>
      <c r="M36" s="700">
        <f t="shared" si="6"/>
        <v>45617</v>
      </c>
      <c r="N36" s="766">
        <f t="shared" si="2"/>
        <v>5</v>
      </c>
      <c r="O36" s="770"/>
      <c r="P36" s="705"/>
      <c r="Q36" s="705"/>
      <c r="R36" s="708"/>
      <c r="S36" s="1075">
        <f t="shared" si="11"/>
        <v>45647</v>
      </c>
      <c r="T36" s="1076">
        <f t="shared" si="3"/>
        <v>7</v>
      </c>
      <c r="U36" s="769"/>
      <c r="V36" s="705"/>
      <c r="W36" s="705"/>
      <c r="X36" s="708"/>
      <c r="Y36" s="700">
        <f t="shared" si="7"/>
        <v>45678</v>
      </c>
      <c r="Z36" s="765">
        <f t="shared" si="4"/>
        <v>3</v>
      </c>
      <c r="AA36" s="769"/>
      <c r="AB36" s="705"/>
      <c r="AC36" s="705"/>
      <c r="AD36" s="708"/>
      <c r="AE36" s="700">
        <f t="shared" si="8"/>
        <v>45709</v>
      </c>
      <c r="AF36" s="766">
        <f t="shared" si="5"/>
        <v>6</v>
      </c>
      <c r="AG36" s="770"/>
      <c r="AH36" s="705"/>
      <c r="AI36" s="705"/>
      <c r="AJ36" s="708"/>
      <c r="AL36" s="698" t="str">
        <f>IF(($M$9+$M$10)&gt;$AT$3,"実訓超","")</f>
        <v/>
      </c>
      <c r="AO36" s="808"/>
      <c r="AP36" s="809"/>
    </row>
    <row r="37" spans="1:42" s="462" customFormat="1" ht="27" customHeight="1" thickBot="1">
      <c r="A37" s="761">
        <f t="shared" si="9"/>
        <v>45557</v>
      </c>
      <c r="B37" s="765">
        <f t="shared" si="0"/>
        <v>1</v>
      </c>
      <c r="C37" s="769"/>
      <c r="D37" s="705"/>
      <c r="E37" s="705"/>
      <c r="F37" s="708"/>
      <c r="G37" s="696">
        <f t="shared" si="10"/>
        <v>45587</v>
      </c>
      <c r="H37" s="766">
        <f t="shared" si="1"/>
        <v>3</v>
      </c>
      <c r="I37" s="768"/>
      <c r="J37" s="704"/>
      <c r="K37" s="704"/>
      <c r="L37" s="709"/>
      <c r="M37" s="700">
        <f t="shared" si="6"/>
        <v>45618</v>
      </c>
      <c r="N37" s="766">
        <f t="shared" si="2"/>
        <v>6</v>
      </c>
      <c r="O37" s="770"/>
      <c r="P37" s="705"/>
      <c r="Q37" s="705"/>
      <c r="R37" s="708"/>
      <c r="S37" s="1075">
        <f t="shared" si="11"/>
        <v>45648</v>
      </c>
      <c r="T37" s="1076">
        <f t="shared" si="3"/>
        <v>1</v>
      </c>
      <c r="U37" s="769"/>
      <c r="V37" s="705"/>
      <c r="W37" s="705"/>
      <c r="X37" s="708"/>
      <c r="Y37" s="696">
        <f t="shared" si="7"/>
        <v>45679</v>
      </c>
      <c r="Z37" s="766">
        <f t="shared" si="4"/>
        <v>4</v>
      </c>
      <c r="AA37" s="768"/>
      <c r="AB37" s="704"/>
      <c r="AC37" s="704"/>
      <c r="AD37" s="709"/>
      <c r="AE37" s="700">
        <f t="shared" si="8"/>
        <v>45710</v>
      </c>
      <c r="AF37" s="766">
        <f t="shared" si="5"/>
        <v>7</v>
      </c>
      <c r="AG37" s="770"/>
      <c r="AH37" s="705"/>
      <c r="AI37" s="705"/>
      <c r="AJ37" s="708"/>
      <c r="AL37" s="698" t="str">
        <f>IF($M$11&lt;$AR$14,"就支不","")</f>
        <v>就支不</v>
      </c>
      <c r="AO37" s="808"/>
      <c r="AP37" s="809"/>
    </row>
    <row r="38" spans="1:42" s="462" customFormat="1" ht="27" customHeight="1" thickBot="1">
      <c r="A38" s="761">
        <f t="shared" si="9"/>
        <v>45558</v>
      </c>
      <c r="B38" s="765">
        <f t="shared" si="0"/>
        <v>2</v>
      </c>
      <c r="C38" s="769"/>
      <c r="D38" s="705"/>
      <c r="E38" s="705"/>
      <c r="F38" s="708"/>
      <c r="G38" s="696">
        <f t="shared" si="10"/>
        <v>45588</v>
      </c>
      <c r="H38" s="766">
        <f t="shared" si="1"/>
        <v>4</v>
      </c>
      <c r="I38" s="768"/>
      <c r="J38" s="704"/>
      <c r="K38" s="704"/>
      <c r="L38" s="709"/>
      <c r="M38" s="700">
        <f t="shared" si="6"/>
        <v>45619</v>
      </c>
      <c r="N38" s="765">
        <f t="shared" si="2"/>
        <v>7</v>
      </c>
      <c r="O38" s="768"/>
      <c r="P38" s="705"/>
      <c r="Q38" s="705"/>
      <c r="R38" s="708"/>
      <c r="S38" s="1075">
        <f t="shared" si="11"/>
        <v>45649</v>
      </c>
      <c r="T38" s="1076">
        <f t="shared" si="3"/>
        <v>2</v>
      </c>
      <c r="U38" s="769"/>
      <c r="V38" s="705"/>
      <c r="W38" s="705"/>
      <c r="X38" s="708"/>
      <c r="Y38" s="696">
        <f t="shared" si="7"/>
        <v>45680</v>
      </c>
      <c r="Z38" s="766">
        <f t="shared" si="4"/>
        <v>5</v>
      </c>
      <c r="AA38" s="768"/>
      <c r="AB38" s="704"/>
      <c r="AC38" s="704"/>
      <c r="AD38" s="709"/>
      <c r="AE38" s="700">
        <f t="shared" si="8"/>
        <v>45711</v>
      </c>
      <c r="AF38" s="765">
        <f t="shared" si="5"/>
        <v>1</v>
      </c>
      <c r="AG38" s="770"/>
      <c r="AH38" s="705"/>
      <c r="AI38" s="705"/>
      <c r="AJ38" s="708"/>
      <c r="AL38" s="698" t="str">
        <f>IF($M$11&gt;$AT$14,"就支超","")</f>
        <v/>
      </c>
      <c r="AO38" s="808"/>
      <c r="AP38" s="809"/>
    </row>
    <row r="39" spans="1:42" s="462" customFormat="1" ht="27" customHeight="1">
      <c r="A39" s="761">
        <f t="shared" si="9"/>
        <v>45559</v>
      </c>
      <c r="B39" s="765">
        <f t="shared" si="0"/>
        <v>3</v>
      </c>
      <c r="C39" s="769"/>
      <c r="D39" s="705"/>
      <c r="E39" s="705"/>
      <c r="F39" s="708"/>
      <c r="G39" s="700">
        <f t="shared" si="10"/>
        <v>45589</v>
      </c>
      <c r="H39" s="765">
        <f t="shared" si="1"/>
        <v>5</v>
      </c>
      <c r="I39" s="770"/>
      <c r="J39" s="705"/>
      <c r="K39" s="705"/>
      <c r="L39" s="708"/>
      <c r="M39" s="700">
        <f t="shared" si="6"/>
        <v>45620</v>
      </c>
      <c r="N39" s="765">
        <f t="shared" si="2"/>
        <v>1</v>
      </c>
      <c r="O39" s="768"/>
      <c r="P39" s="705"/>
      <c r="Q39" s="705"/>
      <c r="R39" s="708"/>
      <c r="S39" s="1075">
        <f t="shared" si="11"/>
        <v>45650</v>
      </c>
      <c r="T39" s="1076">
        <f t="shared" si="3"/>
        <v>3</v>
      </c>
      <c r="U39" s="769"/>
      <c r="V39" s="705"/>
      <c r="W39" s="705"/>
      <c r="X39" s="708"/>
      <c r="Y39" s="700">
        <f t="shared" si="7"/>
        <v>45681</v>
      </c>
      <c r="Z39" s="765">
        <f t="shared" si="4"/>
        <v>6</v>
      </c>
      <c r="AA39" s="770"/>
      <c r="AB39" s="705"/>
      <c r="AC39" s="705"/>
      <c r="AD39" s="708"/>
      <c r="AE39" s="700">
        <f t="shared" si="8"/>
        <v>45712</v>
      </c>
      <c r="AF39" s="765">
        <f t="shared" si="5"/>
        <v>2</v>
      </c>
      <c r="AG39" s="769"/>
      <c r="AH39" s="705"/>
      <c r="AI39" s="705"/>
      <c r="AJ39" s="708"/>
      <c r="AL39" s="1411"/>
      <c r="AO39" s="808"/>
      <c r="AP39" s="809"/>
    </row>
    <row r="40" spans="1:42" s="462" customFormat="1" ht="27" customHeight="1">
      <c r="A40" s="761">
        <f t="shared" si="9"/>
        <v>45560</v>
      </c>
      <c r="B40" s="765">
        <f t="shared" si="0"/>
        <v>4</v>
      </c>
      <c r="C40" s="769"/>
      <c r="D40" s="705"/>
      <c r="E40" s="705"/>
      <c r="F40" s="708"/>
      <c r="G40" s="696">
        <f t="shared" si="10"/>
        <v>45590</v>
      </c>
      <c r="H40" s="766">
        <f t="shared" si="1"/>
        <v>6</v>
      </c>
      <c r="I40" s="769"/>
      <c r="J40" s="705"/>
      <c r="K40" s="705"/>
      <c r="L40" s="708"/>
      <c r="M40" s="700">
        <f t="shared" si="6"/>
        <v>45621</v>
      </c>
      <c r="N40" s="765">
        <f t="shared" si="2"/>
        <v>2</v>
      </c>
      <c r="O40" s="768"/>
      <c r="P40" s="705"/>
      <c r="Q40" s="705"/>
      <c r="R40" s="708"/>
      <c r="S40" s="1075">
        <f t="shared" si="11"/>
        <v>45651</v>
      </c>
      <c r="T40" s="1076">
        <f t="shared" si="3"/>
        <v>4</v>
      </c>
      <c r="U40" s="769"/>
      <c r="V40" s="705"/>
      <c r="W40" s="705"/>
      <c r="X40" s="708"/>
      <c r="Y40" s="696">
        <f t="shared" si="7"/>
        <v>45682</v>
      </c>
      <c r="Z40" s="766">
        <f t="shared" si="4"/>
        <v>7</v>
      </c>
      <c r="AA40" s="770"/>
      <c r="AB40" s="705"/>
      <c r="AC40" s="705"/>
      <c r="AD40" s="708"/>
      <c r="AE40" s="700">
        <f t="shared" si="8"/>
        <v>45713</v>
      </c>
      <c r="AF40" s="765">
        <f t="shared" si="5"/>
        <v>3</v>
      </c>
      <c r="AG40" s="769"/>
      <c r="AH40" s="705"/>
      <c r="AI40" s="705"/>
      <c r="AJ40" s="708"/>
      <c r="AL40" s="1411"/>
      <c r="AO40" s="810"/>
      <c r="AP40" s="811"/>
    </row>
    <row r="41" spans="1:42" s="462" customFormat="1" ht="27" customHeight="1">
      <c r="A41" s="761">
        <f t="shared" si="9"/>
        <v>45561</v>
      </c>
      <c r="B41" s="765">
        <f t="shared" si="0"/>
        <v>5</v>
      </c>
      <c r="C41" s="769"/>
      <c r="D41" s="705"/>
      <c r="E41" s="705"/>
      <c r="F41" s="708"/>
      <c r="G41" s="696">
        <f t="shared" si="10"/>
        <v>45591</v>
      </c>
      <c r="H41" s="766">
        <f t="shared" si="1"/>
        <v>7</v>
      </c>
      <c r="I41" s="770"/>
      <c r="J41" s="705"/>
      <c r="K41" s="705"/>
      <c r="L41" s="708"/>
      <c r="M41" s="700">
        <f t="shared" si="6"/>
        <v>45622</v>
      </c>
      <c r="N41" s="765">
        <f t="shared" si="2"/>
        <v>3</v>
      </c>
      <c r="O41" s="769"/>
      <c r="P41" s="705"/>
      <c r="Q41" s="705"/>
      <c r="R41" s="708"/>
      <c r="S41" s="1075">
        <f t="shared" si="11"/>
        <v>45652</v>
      </c>
      <c r="T41" s="1076">
        <f t="shared" si="3"/>
        <v>5</v>
      </c>
      <c r="U41" s="769"/>
      <c r="V41" s="705"/>
      <c r="W41" s="705"/>
      <c r="X41" s="708"/>
      <c r="Y41" s="696">
        <f t="shared" si="7"/>
        <v>45683</v>
      </c>
      <c r="Z41" s="766">
        <f t="shared" si="4"/>
        <v>1</v>
      </c>
      <c r="AA41" s="770"/>
      <c r="AB41" s="705"/>
      <c r="AC41" s="705"/>
      <c r="AD41" s="708"/>
      <c r="AE41" s="700">
        <f t="shared" si="8"/>
        <v>45714</v>
      </c>
      <c r="AF41" s="765">
        <f t="shared" si="5"/>
        <v>4</v>
      </c>
      <c r="AG41" s="769"/>
      <c r="AH41" s="705"/>
      <c r="AI41" s="705"/>
      <c r="AJ41" s="708"/>
      <c r="AL41" s="1411"/>
      <c r="AO41" s="810"/>
      <c r="AP41" s="811"/>
    </row>
    <row r="42" spans="1:42" s="462" customFormat="1" ht="27" customHeight="1">
      <c r="A42" s="761">
        <f t="shared" si="9"/>
        <v>45562</v>
      </c>
      <c r="B42" s="765">
        <f t="shared" si="0"/>
        <v>6</v>
      </c>
      <c r="C42" s="768"/>
      <c r="D42" s="704"/>
      <c r="E42" s="704"/>
      <c r="F42" s="709"/>
      <c r="G42" s="696">
        <f t="shared" si="10"/>
        <v>45592</v>
      </c>
      <c r="H42" s="766">
        <f t="shared" si="1"/>
        <v>1</v>
      </c>
      <c r="I42" s="770"/>
      <c r="J42" s="705"/>
      <c r="K42" s="705"/>
      <c r="L42" s="708"/>
      <c r="M42" s="700">
        <f t="shared" si="6"/>
        <v>45623</v>
      </c>
      <c r="N42" s="765">
        <f t="shared" si="2"/>
        <v>4</v>
      </c>
      <c r="O42" s="769"/>
      <c r="P42" s="705"/>
      <c r="Q42" s="705"/>
      <c r="R42" s="708"/>
      <c r="S42" s="1075">
        <f t="shared" si="11"/>
        <v>45653</v>
      </c>
      <c r="T42" s="1076">
        <f t="shared" si="3"/>
        <v>6</v>
      </c>
      <c r="U42" s="768"/>
      <c r="V42" s="704"/>
      <c r="W42" s="704"/>
      <c r="X42" s="709"/>
      <c r="Y42" s="696">
        <f t="shared" si="7"/>
        <v>45684</v>
      </c>
      <c r="Z42" s="766">
        <f t="shared" si="4"/>
        <v>2</v>
      </c>
      <c r="AA42" s="770"/>
      <c r="AB42" s="705"/>
      <c r="AC42" s="705"/>
      <c r="AD42" s="708"/>
      <c r="AE42" s="700">
        <f t="shared" si="8"/>
        <v>45715</v>
      </c>
      <c r="AF42" s="765">
        <f t="shared" si="5"/>
        <v>5</v>
      </c>
      <c r="AG42" s="769"/>
      <c r="AH42" s="705"/>
      <c r="AI42" s="705"/>
      <c r="AJ42" s="708"/>
      <c r="AL42" s="1411"/>
      <c r="AO42" s="810"/>
      <c r="AP42" s="811"/>
    </row>
    <row r="43" spans="1:42" s="462" customFormat="1" ht="27" customHeight="1">
      <c r="A43" s="761">
        <f t="shared" si="9"/>
        <v>45563</v>
      </c>
      <c r="B43" s="765">
        <f t="shared" si="0"/>
        <v>7</v>
      </c>
      <c r="C43" s="768"/>
      <c r="D43" s="704"/>
      <c r="E43" s="704"/>
      <c r="F43" s="709"/>
      <c r="G43" s="696">
        <f t="shared" si="10"/>
        <v>45593</v>
      </c>
      <c r="H43" s="766">
        <f t="shared" si="1"/>
        <v>2</v>
      </c>
      <c r="I43" s="770"/>
      <c r="J43" s="705"/>
      <c r="K43" s="705"/>
      <c r="L43" s="708"/>
      <c r="M43" s="700">
        <f t="shared" si="6"/>
        <v>45624</v>
      </c>
      <c r="N43" s="765">
        <f>WEEKDAY(M43)</f>
        <v>5</v>
      </c>
      <c r="O43" s="769"/>
      <c r="P43" s="705"/>
      <c r="Q43" s="705"/>
      <c r="R43" s="708"/>
      <c r="S43" s="1075">
        <f t="shared" si="11"/>
        <v>45654</v>
      </c>
      <c r="T43" s="1076">
        <f t="shared" si="3"/>
        <v>7</v>
      </c>
      <c r="U43" s="768"/>
      <c r="V43" s="704"/>
      <c r="W43" s="704"/>
      <c r="X43" s="709"/>
      <c r="Y43" s="696">
        <f t="shared" si="7"/>
        <v>45685</v>
      </c>
      <c r="Z43" s="766">
        <f t="shared" si="4"/>
        <v>3</v>
      </c>
      <c r="AA43" s="770"/>
      <c r="AB43" s="705"/>
      <c r="AC43" s="705"/>
      <c r="AD43" s="708"/>
      <c r="AE43" s="700">
        <f t="shared" si="8"/>
        <v>45716</v>
      </c>
      <c r="AF43" s="765">
        <f>WEEKDAY(AE43)</f>
        <v>6</v>
      </c>
      <c r="AG43" s="769" t="s">
        <v>1163</v>
      </c>
      <c r="AH43" s="705"/>
      <c r="AI43" s="705"/>
      <c r="AJ43" s="708"/>
      <c r="AL43" s="699"/>
      <c r="AO43" s="810"/>
      <c r="AP43" s="811"/>
    </row>
    <row r="44" spans="1:42" s="462" customFormat="1" ht="27" customHeight="1">
      <c r="A44" s="761">
        <f t="shared" si="9"/>
        <v>45564</v>
      </c>
      <c r="B44" s="765">
        <f t="shared" si="0"/>
        <v>1</v>
      </c>
      <c r="C44" s="769"/>
      <c r="D44" s="705"/>
      <c r="E44" s="705"/>
      <c r="F44" s="708"/>
      <c r="G44" s="696">
        <f t="shared" si="10"/>
        <v>45594</v>
      </c>
      <c r="H44" s="766">
        <f t="shared" si="1"/>
        <v>3</v>
      </c>
      <c r="I44" s="770"/>
      <c r="J44" s="705"/>
      <c r="K44" s="705"/>
      <c r="L44" s="708"/>
      <c r="M44" s="700">
        <f t="shared" si="6"/>
        <v>45625</v>
      </c>
      <c r="N44" s="765">
        <f>WEEKDAY(M44)</f>
        <v>6</v>
      </c>
      <c r="O44" s="769"/>
      <c r="P44" s="705"/>
      <c r="Q44" s="705"/>
      <c r="R44" s="708"/>
      <c r="S44" s="1075">
        <f t="shared" si="11"/>
        <v>45655</v>
      </c>
      <c r="T44" s="1076">
        <f t="shared" si="3"/>
        <v>1</v>
      </c>
      <c r="U44" s="769"/>
      <c r="V44" s="705"/>
      <c r="W44" s="705"/>
      <c r="X44" s="708"/>
      <c r="Y44" s="696">
        <f t="shared" si="7"/>
        <v>45686</v>
      </c>
      <c r="Z44" s="766">
        <f t="shared" si="4"/>
        <v>4</v>
      </c>
      <c r="AA44" s="770"/>
      <c r="AB44" s="705"/>
      <c r="AC44" s="705"/>
      <c r="AD44" s="708"/>
      <c r="AE44" s="700">
        <f t="shared" si="8"/>
        <v>45717</v>
      </c>
      <c r="AF44" s="765">
        <f>WEEKDAY(AE44)</f>
        <v>7</v>
      </c>
      <c r="AG44" s="769"/>
      <c r="AH44" s="705"/>
      <c r="AI44" s="705"/>
      <c r="AJ44" s="708"/>
      <c r="AL44" s="1411"/>
      <c r="AN44" s="701"/>
      <c r="AO44" s="810"/>
      <c r="AP44" s="811"/>
    </row>
    <row r="45" spans="1:42" s="462" customFormat="1" ht="27" customHeight="1">
      <c r="A45" s="762">
        <f t="shared" si="9"/>
        <v>45565</v>
      </c>
      <c r="B45" s="766">
        <f t="shared" si="0"/>
        <v>2</v>
      </c>
      <c r="C45" s="771"/>
      <c r="D45" s="704"/>
      <c r="E45" s="704"/>
      <c r="F45" s="709"/>
      <c r="G45" s="696">
        <f t="shared" si="10"/>
        <v>45595</v>
      </c>
      <c r="H45" s="766">
        <f t="shared" si="1"/>
        <v>4</v>
      </c>
      <c r="I45" s="770"/>
      <c r="J45" s="705"/>
      <c r="K45" s="705"/>
      <c r="L45" s="708"/>
      <c r="M45" s="700">
        <f t="shared" si="6"/>
        <v>45626</v>
      </c>
      <c r="N45" s="765">
        <f t="shared" ref="N45:N47" si="12">WEEKDAY(M45)</f>
        <v>7</v>
      </c>
      <c r="O45" s="769"/>
      <c r="P45" s="705"/>
      <c r="Q45" s="705"/>
      <c r="R45" s="708"/>
      <c r="S45" s="1077">
        <f t="shared" si="11"/>
        <v>45656</v>
      </c>
      <c r="T45" s="1078">
        <f t="shared" si="3"/>
        <v>2</v>
      </c>
      <c r="U45" s="771"/>
      <c r="V45" s="704"/>
      <c r="W45" s="704"/>
      <c r="X45" s="709"/>
      <c r="Y45" s="696">
        <f t="shared" si="7"/>
        <v>45687</v>
      </c>
      <c r="Z45" s="766">
        <f t="shared" si="4"/>
        <v>5</v>
      </c>
      <c r="AA45" s="770"/>
      <c r="AB45" s="705"/>
      <c r="AC45" s="705"/>
      <c r="AD45" s="708"/>
      <c r="AE45" s="700">
        <f t="shared" si="8"/>
        <v>45718</v>
      </c>
      <c r="AF45" s="765">
        <f t="shared" ref="AF45:AF47" si="13">WEEKDAY(AE45)</f>
        <v>1</v>
      </c>
      <c r="AG45" s="769"/>
      <c r="AH45" s="705"/>
      <c r="AI45" s="705"/>
      <c r="AJ45" s="708"/>
      <c r="AL45" s="1411"/>
      <c r="AO45" s="810"/>
      <c r="AP45" s="811"/>
    </row>
    <row r="46" spans="1:42" s="462" customFormat="1" ht="27" customHeight="1">
      <c r="A46" s="761">
        <f t="shared" si="9"/>
        <v>45566</v>
      </c>
      <c r="B46" s="765">
        <f t="shared" si="0"/>
        <v>3</v>
      </c>
      <c r="C46" s="769"/>
      <c r="D46" s="705"/>
      <c r="E46" s="705"/>
      <c r="F46" s="708"/>
      <c r="G46" s="696">
        <f t="shared" si="10"/>
        <v>45596</v>
      </c>
      <c r="H46" s="766">
        <f t="shared" si="1"/>
        <v>5</v>
      </c>
      <c r="I46" s="770"/>
      <c r="J46" s="705"/>
      <c r="K46" s="705"/>
      <c r="L46" s="708"/>
      <c r="M46" s="700">
        <f t="shared" si="6"/>
        <v>45627</v>
      </c>
      <c r="N46" s="765">
        <f t="shared" si="12"/>
        <v>1</v>
      </c>
      <c r="O46" s="769"/>
      <c r="P46" s="705"/>
      <c r="Q46" s="705"/>
      <c r="R46" s="708"/>
      <c r="S46" s="1075">
        <f t="shared" si="11"/>
        <v>45657</v>
      </c>
      <c r="T46" s="1076">
        <f t="shared" si="3"/>
        <v>3</v>
      </c>
      <c r="U46" s="769"/>
      <c r="V46" s="705"/>
      <c r="W46" s="705"/>
      <c r="X46" s="708"/>
      <c r="Y46" s="696">
        <f t="shared" si="7"/>
        <v>45688</v>
      </c>
      <c r="Z46" s="766">
        <f t="shared" si="4"/>
        <v>6</v>
      </c>
      <c r="AA46" s="770"/>
      <c r="AB46" s="705"/>
      <c r="AC46" s="705"/>
      <c r="AD46" s="708"/>
      <c r="AE46" s="700">
        <f t="shared" si="8"/>
        <v>45719</v>
      </c>
      <c r="AF46" s="765">
        <f t="shared" si="13"/>
        <v>2</v>
      </c>
      <c r="AG46" s="769"/>
      <c r="AH46" s="705"/>
      <c r="AI46" s="705"/>
      <c r="AJ46" s="708"/>
      <c r="AL46" s="699"/>
      <c r="AO46" s="810"/>
      <c r="AP46" s="811"/>
    </row>
    <row r="47" spans="1:42" s="462" customFormat="1" ht="27" customHeight="1">
      <c r="A47" s="761">
        <f t="shared" si="9"/>
        <v>45567</v>
      </c>
      <c r="B47" s="765">
        <f t="shared" si="0"/>
        <v>4</v>
      </c>
      <c r="C47" s="769"/>
      <c r="D47" s="705"/>
      <c r="E47" s="705"/>
      <c r="F47" s="708"/>
      <c r="G47" s="700">
        <f t="shared" si="10"/>
        <v>45597</v>
      </c>
      <c r="H47" s="765">
        <f t="shared" si="1"/>
        <v>6</v>
      </c>
      <c r="I47" s="826"/>
      <c r="J47" s="827"/>
      <c r="K47" s="827"/>
      <c r="L47" s="821"/>
      <c r="M47" s="700">
        <f t="shared" si="6"/>
        <v>45628</v>
      </c>
      <c r="N47" s="765">
        <f t="shared" si="12"/>
        <v>2</v>
      </c>
      <c r="O47" s="769"/>
      <c r="P47" s="705"/>
      <c r="Q47" s="705"/>
      <c r="R47" s="708"/>
      <c r="S47" s="1075">
        <f t="shared" si="11"/>
        <v>45658</v>
      </c>
      <c r="T47" s="1076">
        <f t="shared" si="3"/>
        <v>4</v>
      </c>
      <c r="U47" s="769"/>
      <c r="V47" s="705"/>
      <c r="W47" s="705"/>
      <c r="X47" s="708"/>
      <c r="Y47" s="700">
        <f t="shared" si="7"/>
        <v>45689</v>
      </c>
      <c r="Z47" s="765">
        <f t="shared" si="4"/>
        <v>7</v>
      </c>
      <c r="AA47" s="826"/>
      <c r="AB47" s="827"/>
      <c r="AC47" s="827"/>
      <c r="AD47" s="821"/>
      <c r="AE47" s="700">
        <f t="shared" si="8"/>
        <v>45720</v>
      </c>
      <c r="AF47" s="765">
        <f t="shared" si="13"/>
        <v>3</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0</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3</v>
      </c>
      <c r="AH56" s="1888" t="s">
        <v>52</v>
      </c>
      <c r="AI56" s="1889"/>
      <c r="AJ56" s="1890"/>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15" t="s">
        <v>450</v>
      </c>
      <c r="M2" s="1915"/>
      <c r="N2" s="1915"/>
      <c r="O2" s="1915"/>
      <c r="P2" s="1915"/>
      <c r="Q2" s="1915"/>
      <c r="R2" s="1915"/>
      <c r="S2" s="1913" t="str">
        <f>Data!$A$11</f>
        <v>離職者等再就職訓練（６箇月）</v>
      </c>
      <c r="T2" s="1913"/>
      <c r="U2" s="1913"/>
      <c r="V2" s="1913"/>
      <c r="W2" s="749"/>
      <c r="X2" s="749"/>
      <c r="Y2" s="72"/>
      <c r="Z2" s="72"/>
      <c r="AA2" s="73"/>
      <c r="AB2" s="73"/>
      <c r="AC2" s="73"/>
      <c r="AD2" s="72"/>
      <c r="AE2" s="72"/>
      <c r="AF2" s="72"/>
      <c r="AG2" s="72"/>
      <c r="AH2" s="72"/>
      <c r="AI2" s="73"/>
      <c r="AJ2" s="1915" t="s">
        <v>450</v>
      </c>
      <c r="AK2" s="1915"/>
      <c r="AL2" s="1915"/>
      <c r="AM2" s="1915"/>
      <c r="AN2" s="1915"/>
      <c r="AO2" s="1913" t="str">
        <f>Data!$A$11</f>
        <v>離職者等再就職訓練（６箇月）</v>
      </c>
      <c r="AP2" s="1913"/>
      <c r="AQ2" s="1913"/>
      <c r="AR2" s="1913"/>
      <c r="AS2" s="452"/>
      <c r="AT2" s="452"/>
      <c r="AY2" s="228" t="s">
        <v>401</v>
      </c>
      <c r="AZ2" s="461">
        <f>VLOOKUP(S2,祝日!$K$3:$S$25,2,FALSE)</f>
        <v>6</v>
      </c>
      <c r="BA2" s="449" t="s">
        <v>466</v>
      </c>
    </row>
    <row r="3" spans="1:55" ht="15" customHeight="1" thickBot="1">
      <c r="A3" s="74"/>
      <c r="B3" s="455" t="s">
        <v>464</v>
      </c>
      <c r="C3" s="1291">
        <v>45596</v>
      </c>
      <c r="D3" s="575" t="s">
        <v>516</v>
      </c>
      <c r="E3" s="73"/>
      <c r="F3" s="72"/>
      <c r="G3" s="72"/>
      <c r="H3" s="72"/>
      <c r="I3" s="72"/>
      <c r="J3" s="459"/>
      <c r="K3" s="73"/>
      <c r="L3" s="1915" t="s">
        <v>131</v>
      </c>
      <c r="M3" s="1915"/>
      <c r="N3" s="1915"/>
      <c r="O3" s="1915"/>
      <c r="P3" s="1915"/>
      <c r="Q3" s="1915"/>
      <c r="R3" s="1915"/>
      <c r="S3" s="1914" t="str">
        <f>Data!$A$9</f>
        <v/>
      </c>
      <c r="T3" s="1914"/>
      <c r="U3" s="1914"/>
      <c r="V3" s="1914"/>
      <c r="W3" s="749"/>
      <c r="X3" s="749"/>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45474</v>
      </c>
      <c r="AY3" s="228" t="s">
        <v>283</v>
      </c>
      <c r="AZ3" s="804">
        <f>VLOOKUP($S$2,祝日!$K$3:$S$25,3,FALSE)</f>
        <v>600</v>
      </c>
      <c r="BA3" s="752" t="s">
        <v>404</v>
      </c>
      <c r="BB3" s="804">
        <f>VLOOKUP($S$2,祝日!$K$3:$S$25,4,FALSE)</f>
        <v>999</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749"/>
      <c r="X4" s="749"/>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45596</v>
      </c>
      <c r="AY4" s="228" t="s">
        <v>452</v>
      </c>
      <c r="AZ4" s="804">
        <f>VLOOKUP($S$2,祝日!$K$3:$S$25,7,FALSE)</f>
        <v>100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331"/>
      <c r="P7" s="1331"/>
      <c r="Q7" s="1950" t="s">
        <v>455</v>
      </c>
      <c r="R7" s="1950"/>
      <c r="S7" s="1971" t="s">
        <v>467</v>
      </c>
      <c r="T7" s="1972"/>
      <c r="U7" s="1972"/>
      <c r="V7" s="1973"/>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16</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332"/>
      <c r="P8" s="1332"/>
      <c r="Q8" s="1952">
        <f>SUM($A$57:$AR$57)</f>
        <v>0</v>
      </c>
      <c r="R8" s="1952"/>
      <c r="S8" s="1942"/>
      <c r="T8" s="1943"/>
      <c r="U8" s="1943"/>
      <c r="V8" s="1944"/>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333"/>
      <c r="P9" s="1333"/>
      <c r="Q9" s="1948">
        <f>SUM($A51:$AR51)</f>
        <v>0</v>
      </c>
      <c r="R9" s="1948"/>
      <c r="S9" s="1959" t="str">
        <f>CONCATENATE("学科＋実技＋キー・スキル講習が",CHAR(10),AZ3,BA3)</f>
        <v>学科＋実技＋キー・スキル講習が
600時間以上</v>
      </c>
      <c r="T9" s="1960"/>
      <c r="U9" s="1960"/>
      <c r="V9" s="1961"/>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330"/>
      <c r="P10" s="1330"/>
      <c r="Q10" s="1948">
        <f t="shared" ref="Q10:Q11" si="0">SUM($A52:$AR52)</f>
        <v>0</v>
      </c>
      <c r="R10" s="1948"/>
      <c r="S10" s="1962"/>
      <c r="T10" s="1963"/>
      <c r="U10" s="1963"/>
      <c r="V10" s="1964"/>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84" t="s">
        <v>1088</v>
      </c>
      <c r="B11" s="1985"/>
      <c r="C11" s="1986"/>
      <c r="D11" s="1985"/>
      <c r="E11" s="1985"/>
      <c r="F11" s="1985"/>
      <c r="G11" s="1985"/>
      <c r="H11" s="1985"/>
      <c r="I11" s="1987"/>
      <c r="J11" s="468"/>
      <c r="K11" s="1297" t="s">
        <v>494</v>
      </c>
      <c r="L11" s="1947">
        <f>'６カリキュラム(デュアル)'!D22</f>
        <v>0</v>
      </c>
      <c r="M11" s="1948"/>
      <c r="N11" s="1948"/>
      <c r="O11" s="1330"/>
      <c r="P11" s="1330"/>
      <c r="Q11" s="1948">
        <f t="shared" si="0"/>
        <v>0</v>
      </c>
      <c r="R11" s="1948"/>
      <c r="S11" s="1916" t="str">
        <f>CONCATENATE(AZ12,BA12,BB12,BC12)</f>
        <v>0時間以上0時間以下</v>
      </c>
      <c r="T11" s="1917"/>
      <c r="U11" s="1917"/>
      <c r="V11" s="1918"/>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1988"/>
      <c r="B12" s="1989"/>
      <c r="C12" s="1989"/>
      <c r="D12" s="1989"/>
      <c r="E12" s="1989"/>
      <c r="F12" s="1989"/>
      <c r="G12" s="1989"/>
      <c r="H12" s="1989"/>
      <c r="I12" s="1990"/>
      <c r="J12" s="468"/>
      <c r="K12" s="1297" t="s">
        <v>1013</v>
      </c>
      <c r="L12" s="1947">
        <f>'６カリキュラム(デュアル)'!D23</f>
        <v>0</v>
      </c>
      <c r="M12" s="1948"/>
      <c r="N12" s="1948"/>
      <c r="O12" s="1330"/>
      <c r="P12" s="1330"/>
      <c r="Q12" s="1948">
        <f>SUM($A55:$AR55)</f>
        <v>0</v>
      </c>
      <c r="R12" s="1948"/>
      <c r="S12" s="1916" t="str">
        <f>CONCATENATE(AZ13,BA13,BB13,BC13)</f>
        <v>0時間以上</v>
      </c>
      <c r="T12" s="1917"/>
      <c r="U12" s="1917"/>
      <c r="V12" s="1918"/>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82">
        <f>'６カリキュラム(デュアル)'!D24</f>
        <v>0</v>
      </c>
      <c r="M13" s="1983"/>
      <c r="N13" s="1983"/>
      <c r="O13" s="1369"/>
      <c r="P13" s="1369"/>
      <c r="Q13" s="1983">
        <f>SUM($A54:$AR54)</f>
        <v>0</v>
      </c>
      <c r="R13" s="1983"/>
      <c r="S13" s="1979" t="str">
        <f>CONCATENATE(AZ14,BA14)</f>
        <v>24時間以上</v>
      </c>
      <c r="T13" s="1980"/>
      <c r="U13" s="1980"/>
      <c r="V13" s="1981"/>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24</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74">
        <f>MONTH(A17)</f>
        <v>7</v>
      </c>
      <c r="B16" s="1975"/>
      <c r="C16" s="1976"/>
      <c r="D16" s="784" t="s">
        <v>445</v>
      </c>
      <c r="E16" s="784" t="s">
        <v>447</v>
      </c>
      <c r="F16" s="785" t="s">
        <v>481</v>
      </c>
      <c r="G16" s="785" t="s">
        <v>449</v>
      </c>
      <c r="H16" s="786" t="s">
        <v>482</v>
      </c>
      <c r="I16" s="1974">
        <f>MONTH(I17)</f>
        <v>8</v>
      </c>
      <c r="J16" s="1975"/>
      <c r="K16" s="1976"/>
      <c r="L16" s="784" t="s">
        <v>445</v>
      </c>
      <c r="M16" s="784" t="s">
        <v>447</v>
      </c>
      <c r="N16" s="785" t="s">
        <v>481</v>
      </c>
      <c r="O16" s="785" t="s">
        <v>449</v>
      </c>
      <c r="P16" s="786" t="s">
        <v>482</v>
      </c>
      <c r="Q16" s="1974">
        <f>MONTH(Q17)</f>
        <v>9</v>
      </c>
      <c r="R16" s="1975"/>
      <c r="S16" s="1976"/>
      <c r="T16" s="784" t="s">
        <v>445</v>
      </c>
      <c r="U16" s="784" t="s">
        <v>447</v>
      </c>
      <c r="V16" s="785" t="s">
        <v>481</v>
      </c>
      <c r="W16" s="785" t="s">
        <v>449</v>
      </c>
      <c r="X16" s="786" t="s">
        <v>482</v>
      </c>
      <c r="Y16" s="1974">
        <f>MONTH(Y17)</f>
        <v>10</v>
      </c>
      <c r="Z16" s="1975"/>
      <c r="AA16" s="1976"/>
      <c r="AB16" s="784" t="s">
        <v>445</v>
      </c>
      <c r="AC16" s="784" t="s">
        <v>447</v>
      </c>
      <c r="AD16" s="785" t="s">
        <v>481</v>
      </c>
      <c r="AE16" s="785" t="s">
        <v>449</v>
      </c>
      <c r="AF16" s="786" t="s">
        <v>482</v>
      </c>
      <c r="AG16" s="1977"/>
      <c r="AH16" s="1978"/>
      <c r="AI16" s="1978"/>
      <c r="AJ16" s="496"/>
      <c r="AK16" s="496"/>
      <c r="AL16" s="497"/>
      <c r="AM16" s="1978"/>
      <c r="AN16" s="1978"/>
      <c r="AO16" s="1978"/>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56"/>
      <c r="H49" s="1357"/>
      <c r="I49" s="1875" t="s">
        <v>56</v>
      </c>
      <c r="J49" s="1876"/>
      <c r="K49" s="1338">
        <f>COUNTIF(K17:K47,"*")-COUNTIF(K17:K47,"修了式")-COUNTIF(K17:K47,"休校日")-COUNTIF(K17:K47,"就職活動日*")</f>
        <v>0</v>
      </c>
      <c r="L49" s="1877" t="s">
        <v>55</v>
      </c>
      <c r="M49" s="1878"/>
      <c r="N49" s="1878"/>
      <c r="O49" s="1356"/>
      <c r="P49" s="1357"/>
      <c r="Q49" s="1875" t="s">
        <v>56</v>
      </c>
      <c r="R49" s="1876"/>
      <c r="S49" s="1338">
        <f>COUNTIF(S17:S47,"*")-COUNTIF(S17:S47,"修了式")-COUNTIF(S17:S47,"休校日")-COUNTIF(S17:S47,"就職活動日*")</f>
        <v>0</v>
      </c>
      <c r="T49" s="1877" t="s">
        <v>55</v>
      </c>
      <c r="U49" s="1878"/>
      <c r="V49" s="1878"/>
      <c r="W49" s="1356"/>
      <c r="X49" s="1357"/>
      <c r="Y49" s="1875" t="s">
        <v>56</v>
      </c>
      <c r="Z49" s="1876"/>
      <c r="AA49" s="1337">
        <f>COUNTIF(AA17:AA47,"*")-COUNTIF(AA17:AA47,"修了式")-COUNTIF(AA17:AA47,"休校日")-COUNTIF(AA17:AA47,"就職活動日*")</f>
        <v>0</v>
      </c>
      <c r="AB49" s="1877" t="s">
        <v>55</v>
      </c>
      <c r="AC49" s="1878"/>
      <c r="AD49" s="1878"/>
      <c r="AE49" s="1356"/>
      <c r="AF49" s="1357"/>
      <c r="AG49" s="1991"/>
      <c r="AH49" s="1992"/>
      <c r="AI49" s="85"/>
      <c r="AJ49" s="1993"/>
      <c r="AK49" s="1993"/>
      <c r="AL49" s="1993"/>
      <c r="AM49" s="1992"/>
      <c r="AN49" s="1992"/>
      <c r="AO49" s="85"/>
      <c r="AP49" s="1993"/>
      <c r="AQ49" s="1993"/>
      <c r="AR49" s="1993"/>
      <c r="AS49" s="85">
        <f>SUM(A49:AR49)</f>
        <v>0</v>
      </c>
      <c r="AT49" s="82" t="s">
        <v>55</v>
      </c>
    </row>
    <row r="50" spans="1:56" s="81" customFormat="1" ht="27" customHeight="1" thickBot="1">
      <c r="A50" s="1912" t="s">
        <v>292</v>
      </c>
      <c r="B50" s="1898"/>
      <c r="C50" s="1341">
        <f>COUNTIF(C17:C47,"*★*")</f>
        <v>0</v>
      </c>
      <c r="D50" s="1994" t="s">
        <v>1093</v>
      </c>
      <c r="E50" s="1995"/>
      <c r="F50" s="1995"/>
      <c r="G50" s="1358"/>
      <c r="H50" s="1359"/>
      <c r="I50" s="1912" t="s">
        <v>292</v>
      </c>
      <c r="J50" s="1898"/>
      <c r="K50" s="1341">
        <f>COUNTIF(K17:K47,"*★*")</f>
        <v>0</v>
      </c>
      <c r="L50" s="1994" t="s">
        <v>1093</v>
      </c>
      <c r="M50" s="1995"/>
      <c r="N50" s="1995"/>
      <c r="O50" s="1358"/>
      <c r="P50" s="1359"/>
      <c r="Q50" s="1912" t="s">
        <v>292</v>
      </c>
      <c r="R50" s="1898"/>
      <c r="S50" s="1341">
        <f>COUNTIF(S17:S47,"*★*")</f>
        <v>0</v>
      </c>
      <c r="T50" s="1994" t="s">
        <v>1093</v>
      </c>
      <c r="U50" s="1995"/>
      <c r="V50" s="1995"/>
      <c r="W50" s="1358"/>
      <c r="X50" s="1359"/>
      <c r="Y50" s="1912" t="s">
        <v>292</v>
      </c>
      <c r="Z50" s="1898"/>
      <c r="AA50" s="1341">
        <f>COUNTIF(AA17:AA47,"*★*")</f>
        <v>0</v>
      </c>
      <c r="AB50" s="1994" t="s">
        <v>1093</v>
      </c>
      <c r="AC50" s="1995"/>
      <c r="AD50" s="1995"/>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2001" t="s">
        <v>53</v>
      </c>
      <c r="B51" s="2002"/>
      <c r="C51" s="1360">
        <f>SUM(D17:D47)</f>
        <v>0</v>
      </c>
      <c r="D51" s="2003" t="s">
        <v>52</v>
      </c>
      <c r="E51" s="2004"/>
      <c r="F51" s="2005"/>
      <c r="G51" s="1361"/>
      <c r="H51" s="1362"/>
      <c r="I51" s="2001" t="s">
        <v>53</v>
      </c>
      <c r="J51" s="2002"/>
      <c r="K51" s="1360">
        <f>SUM(L17:L47)</f>
        <v>0</v>
      </c>
      <c r="L51" s="2003" t="s">
        <v>52</v>
      </c>
      <c r="M51" s="2004"/>
      <c r="N51" s="2005"/>
      <c r="O51" s="1361"/>
      <c r="P51" s="1362"/>
      <c r="Q51" s="2001" t="s">
        <v>53</v>
      </c>
      <c r="R51" s="2002"/>
      <c r="S51" s="1360">
        <f>SUM(T17:T47)</f>
        <v>0</v>
      </c>
      <c r="T51" s="2003" t="s">
        <v>52</v>
      </c>
      <c r="U51" s="2006"/>
      <c r="V51" s="2005"/>
      <c r="W51" s="1361"/>
      <c r="X51" s="1362"/>
      <c r="Y51" s="2001" t="s">
        <v>53</v>
      </c>
      <c r="Z51" s="2002"/>
      <c r="AA51" s="1360">
        <f>SUM(AB17:AB47)</f>
        <v>0</v>
      </c>
      <c r="AB51" s="2003" t="s">
        <v>52</v>
      </c>
      <c r="AC51" s="2004"/>
      <c r="AD51" s="2005"/>
      <c r="AE51" s="1361"/>
      <c r="AF51" s="1362"/>
      <c r="AG51" s="1991"/>
      <c r="AH51" s="1992"/>
      <c r="AI51" s="812"/>
      <c r="AJ51" s="1993"/>
      <c r="AK51" s="1993"/>
      <c r="AL51" s="1993"/>
      <c r="AM51" s="1992"/>
      <c r="AN51" s="1992"/>
      <c r="AO51" s="1334"/>
      <c r="AP51" s="1993"/>
      <c r="AQ51" s="1993"/>
      <c r="AR51" s="1993"/>
      <c r="AS51" s="81">
        <f t="shared" ref="AS51" si="10">SUM(A51:AR51)</f>
        <v>0</v>
      </c>
      <c r="AT51" s="82" t="s">
        <v>52</v>
      </c>
    </row>
    <row r="52" spans="1:56" s="81" customFormat="1" ht="27" customHeight="1">
      <c r="A52" s="2000" t="s">
        <v>54</v>
      </c>
      <c r="B52" s="1876"/>
      <c r="C52" s="1337">
        <f>SUM(E17:E47)</f>
        <v>0</v>
      </c>
      <c r="D52" s="1877" t="s">
        <v>52</v>
      </c>
      <c r="E52" s="1878"/>
      <c r="F52" s="1878"/>
      <c r="G52" s="1356"/>
      <c r="H52" s="1357"/>
      <c r="I52" s="1875" t="s">
        <v>54</v>
      </c>
      <c r="J52" s="1876"/>
      <c r="K52" s="1337">
        <f>SUM(M17:M47)</f>
        <v>0</v>
      </c>
      <c r="L52" s="1877" t="s">
        <v>52</v>
      </c>
      <c r="M52" s="1878"/>
      <c r="N52" s="1878"/>
      <c r="O52" s="1356"/>
      <c r="P52" s="1357"/>
      <c r="Q52" s="1875" t="s">
        <v>54</v>
      </c>
      <c r="R52" s="1876"/>
      <c r="S52" s="1337">
        <f>SUM(U17:U47)</f>
        <v>0</v>
      </c>
      <c r="T52" s="1877" t="s">
        <v>52</v>
      </c>
      <c r="U52" s="1878"/>
      <c r="V52" s="1878"/>
      <c r="W52" s="1356"/>
      <c r="X52" s="1357"/>
      <c r="Y52" s="1875" t="s">
        <v>54</v>
      </c>
      <c r="Z52" s="1876"/>
      <c r="AA52" s="1337">
        <f>SUM(AC17:AC47)</f>
        <v>0</v>
      </c>
      <c r="AB52" s="1877" t="s">
        <v>52</v>
      </c>
      <c r="AC52" s="1878"/>
      <c r="AD52" s="1878"/>
      <c r="AE52" s="1356"/>
      <c r="AF52" s="1357"/>
      <c r="AG52" s="1991"/>
      <c r="AH52" s="1992"/>
      <c r="AI52" s="1334"/>
      <c r="AJ52" s="1993"/>
      <c r="AK52" s="1993"/>
      <c r="AL52" s="1993"/>
      <c r="AM52" s="1992"/>
      <c r="AN52" s="1992"/>
      <c r="AO52" s="1334"/>
      <c r="AP52" s="1993"/>
      <c r="AQ52" s="1993"/>
      <c r="AR52" s="1993"/>
      <c r="AS52" s="81">
        <f t="shared" ref="AS52:AS57" si="11">SUM(A52:AR52)</f>
        <v>0</v>
      </c>
      <c r="AT52" s="82" t="s">
        <v>52</v>
      </c>
    </row>
    <row r="53" spans="1:56" s="81" customFormat="1" ht="27" customHeight="1">
      <c r="A53" s="1998" t="s">
        <v>496</v>
      </c>
      <c r="B53" s="1881"/>
      <c r="C53" s="1347">
        <f>SUM(F17:F47)</f>
        <v>0</v>
      </c>
      <c r="D53" s="1882" t="s">
        <v>52</v>
      </c>
      <c r="E53" s="1883"/>
      <c r="F53" s="1883"/>
      <c r="G53" s="1363"/>
      <c r="H53" s="1364"/>
      <c r="I53" s="1880" t="s">
        <v>495</v>
      </c>
      <c r="J53" s="1881"/>
      <c r="K53" s="1347">
        <f>SUM(N17:N47)</f>
        <v>0</v>
      </c>
      <c r="L53" s="1882" t="s">
        <v>52</v>
      </c>
      <c r="M53" s="1883"/>
      <c r="N53" s="1883"/>
      <c r="O53" s="1363"/>
      <c r="P53" s="1364"/>
      <c r="Q53" s="1999" t="s">
        <v>495</v>
      </c>
      <c r="R53" s="1881"/>
      <c r="S53" s="1347">
        <f>SUM(V17:V47)</f>
        <v>0</v>
      </c>
      <c r="T53" s="1882" t="s">
        <v>52</v>
      </c>
      <c r="U53" s="1883"/>
      <c r="V53" s="1883"/>
      <c r="W53" s="1363"/>
      <c r="X53" s="1364"/>
      <c r="Y53" s="1880" t="s">
        <v>495</v>
      </c>
      <c r="Z53" s="1881"/>
      <c r="AA53" s="1347">
        <f>SUM(AD17:AD47)</f>
        <v>0</v>
      </c>
      <c r="AB53" s="1882" t="s">
        <v>52</v>
      </c>
      <c r="AC53" s="1883"/>
      <c r="AD53" s="1883"/>
      <c r="AE53" s="1363"/>
      <c r="AF53" s="1364"/>
      <c r="AG53" s="1991"/>
      <c r="AH53" s="1992"/>
      <c r="AI53" s="1334"/>
      <c r="AJ53" s="1993"/>
      <c r="AK53" s="1993"/>
      <c r="AL53" s="1993"/>
      <c r="AM53" s="1992"/>
      <c r="AN53" s="1992"/>
      <c r="AO53" s="1334"/>
      <c r="AP53" s="1993"/>
      <c r="AQ53" s="1993"/>
      <c r="AR53" s="1993"/>
      <c r="AS53" s="81">
        <f t="shared" si="11"/>
        <v>0</v>
      </c>
      <c r="AT53" s="82" t="s">
        <v>52</v>
      </c>
    </row>
    <row r="54" spans="1:56" s="81" customFormat="1" ht="27" customHeight="1">
      <c r="A54" s="1998" t="s">
        <v>57</v>
      </c>
      <c r="B54" s="1881"/>
      <c r="C54" s="1347">
        <f>SUM(G17:G47)</f>
        <v>0</v>
      </c>
      <c r="D54" s="1882" t="s">
        <v>52</v>
      </c>
      <c r="E54" s="1883"/>
      <c r="F54" s="1883"/>
      <c r="G54" s="1363"/>
      <c r="H54" s="1364"/>
      <c r="I54" s="1880" t="s">
        <v>57</v>
      </c>
      <c r="J54" s="1881"/>
      <c r="K54" s="1347">
        <f>SUM(O17:O47)</f>
        <v>0</v>
      </c>
      <c r="L54" s="1882" t="s">
        <v>52</v>
      </c>
      <c r="M54" s="1883"/>
      <c r="N54" s="1883"/>
      <c r="O54" s="1363"/>
      <c r="P54" s="1364"/>
      <c r="Q54" s="1999" t="s">
        <v>57</v>
      </c>
      <c r="R54" s="1881"/>
      <c r="S54" s="1347">
        <f>SUM(W17:W47)</f>
        <v>0</v>
      </c>
      <c r="T54" s="1882" t="s">
        <v>52</v>
      </c>
      <c r="U54" s="1883"/>
      <c r="V54" s="1883"/>
      <c r="W54" s="1363"/>
      <c r="X54" s="1364"/>
      <c r="Y54" s="1880" t="s">
        <v>57</v>
      </c>
      <c r="Z54" s="1881"/>
      <c r="AA54" s="1347">
        <f>SUM(AE17:AE47)</f>
        <v>0</v>
      </c>
      <c r="AB54" s="1882" t="s">
        <v>52</v>
      </c>
      <c r="AC54" s="1883"/>
      <c r="AD54" s="1883"/>
      <c r="AE54" s="1363"/>
      <c r="AF54" s="1364"/>
      <c r="AG54" s="1991"/>
      <c r="AH54" s="1992"/>
      <c r="AI54" s="1334"/>
      <c r="AJ54" s="1993"/>
      <c r="AK54" s="1993"/>
      <c r="AL54" s="1993"/>
      <c r="AM54" s="1992"/>
      <c r="AN54" s="1992"/>
      <c r="AO54" s="1334"/>
      <c r="AP54" s="1993"/>
      <c r="AQ54" s="1993"/>
      <c r="AR54" s="1993"/>
      <c r="AS54" s="81">
        <f t="shared" si="11"/>
        <v>0</v>
      </c>
      <c r="AT54" s="82" t="s">
        <v>52</v>
      </c>
    </row>
    <row r="55" spans="1:56" s="81" customFormat="1" ht="27" customHeight="1" thickBot="1">
      <c r="A55" s="1880" t="s">
        <v>483</v>
      </c>
      <c r="B55" s="1881"/>
      <c r="C55" s="1347">
        <f>SUM(H17:H47)</f>
        <v>0</v>
      </c>
      <c r="D55" s="1882" t="s">
        <v>52</v>
      </c>
      <c r="E55" s="1883"/>
      <c r="F55" s="1883"/>
      <c r="G55" s="1363"/>
      <c r="H55" s="1364"/>
      <c r="I55" s="1880" t="s">
        <v>483</v>
      </c>
      <c r="J55" s="1881"/>
      <c r="K55" s="1347">
        <f>SUM(P17:P47)</f>
        <v>0</v>
      </c>
      <c r="L55" s="1882" t="s">
        <v>52</v>
      </c>
      <c r="M55" s="1883"/>
      <c r="N55" s="1883"/>
      <c r="O55" s="1363"/>
      <c r="P55" s="1364"/>
      <c r="Q55" s="1999" t="s">
        <v>483</v>
      </c>
      <c r="R55" s="1881"/>
      <c r="S55" s="1347">
        <f>SUM(X17:X47)</f>
        <v>0</v>
      </c>
      <c r="T55" s="1882" t="s">
        <v>52</v>
      </c>
      <c r="U55" s="1883"/>
      <c r="V55" s="1883"/>
      <c r="W55" s="1363"/>
      <c r="X55" s="1364"/>
      <c r="Y55" s="1880" t="s">
        <v>483</v>
      </c>
      <c r="Z55" s="1881"/>
      <c r="AA55" s="1347">
        <f>SUM(AF17:AF47)</f>
        <v>0</v>
      </c>
      <c r="AB55" s="1882" t="s">
        <v>52</v>
      </c>
      <c r="AC55" s="1883"/>
      <c r="AD55" s="1883"/>
      <c r="AE55" s="1363"/>
      <c r="AF55" s="1364"/>
      <c r="AG55" s="1991"/>
      <c r="AH55" s="1992"/>
      <c r="AI55" s="1334"/>
      <c r="AJ55" s="1993"/>
      <c r="AK55" s="1993"/>
      <c r="AL55" s="1993"/>
      <c r="AM55" s="1992"/>
      <c r="AN55" s="1992"/>
      <c r="AO55" s="1334"/>
      <c r="AP55" s="1993"/>
      <c r="AQ55" s="1993"/>
      <c r="AR55" s="1993"/>
      <c r="AS55" s="81">
        <f t="shared" ref="AS55" si="12">SUM(A55:AR55)</f>
        <v>0</v>
      </c>
      <c r="AT55" s="82" t="s">
        <v>52</v>
      </c>
    </row>
    <row r="56" spans="1:56" s="81" customFormat="1" ht="27" hidden="1" customHeight="1" thickBot="1">
      <c r="A56" s="1897" t="s">
        <v>292</v>
      </c>
      <c r="B56" s="1898"/>
      <c r="C56" s="1349"/>
      <c r="D56" s="1899" t="s">
        <v>52</v>
      </c>
      <c r="E56" s="1900"/>
      <c r="F56" s="1900"/>
      <c r="G56" s="1365"/>
      <c r="H56" s="1366"/>
      <c r="I56" s="1897" t="s">
        <v>292</v>
      </c>
      <c r="J56" s="1902"/>
      <c r="K56" s="1349"/>
      <c r="L56" s="1899" t="s">
        <v>52</v>
      </c>
      <c r="M56" s="1900"/>
      <c r="N56" s="1900"/>
      <c r="O56" s="1365"/>
      <c r="P56" s="1366"/>
      <c r="Q56" s="1897" t="s">
        <v>292</v>
      </c>
      <c r="R56" s="1902"/>
      <c r="S56" s="1349"/>
      <c r="T56" s="1899" t="s">
        <v>52</v>
      </c>
      <c r="U56" s="1900"/>
      <c r="V56" s="1900"/>
      <c r="W56" s="1365"/>
      <c r="X56" s="1366"/>
      <c r="Y56" s="1897" t="s">
        <v>292</v>
      </c>
      <c r="Z56" s="1898"/>
      <c r="AA56" s="1349"/>
      <c r="AB56" s="1899" t="s">
        <v>52</v>
      </c>
      <c r="AC56" s="1900"/>
      <c r="AD56" s="1900"/>
      <c r="AE56" s="1365"/>
      <c r="AF56" s="1366"/>
      <c r="AG56" s="2010"/>
      <c r="AH56" s="1993"/>
      <c r="AI56" s="813"/>
      <c r="AJ56" s="2011"/>
      <c r="AK56" s="2011"/>
      <c r="AL56" s="2011"/>
      <c r="AM56" s="2011"/>
      <c r="AN56" s="1993"/>
      <c r="AO56" s="813"/>
      <c r="AP56" s="2011"/>
      <c r="AQ56" s="2011"/>
      <c r="AR56" s="2011"/>
      <c r="AS56" s="1372">
        <f t="shared" si="11"/>
        <v>0</v>
      </c>
      <c r="AT56" s="229" t="s">
        <v>52</v>
      </c>
    </row>
    <row r="57" spans="1:56" s="81" customFormat="1" ht="27" customHeight="1" thickTop="1" thickBot="1">
      <c r="A57" s="1891" t="s">
        <v>163</v>
      </c>
      <c r="B57" s="1892"/>
      <c r="C57" s="1352">
        <f>SUM(C51:C55)</f>
        <v>0</v>
      </c>
      <c r="D57" s="1893" t="s">
        <v>52</v>
      </c>
      <c r="E57" s="1894"/>
      <c r="F57" s="1896"/>
      <c r="G57" s="1367"/>
      <c r="H57" s="1368"/>
      <c r="I57" s="1891" t="s">
        <v>163</v>
      </c>
      <c r="J57" s="1892"/>
      <c r="K57" s="1353">
        <f>SUM(K51:K55)</f>
        <v>0</v>
      </c>
      <c r="L57" s="1894" t="s">
        <v>52</v>
      </c>
      <c r="M57" s="1894"/>
      <c r="N57" s="1896"/>
      <c r="O57" s="1367"/>
      <c r="P57" s="1368"/>
      <c r="Q57" s="1996" t="s">
        <v>163</v>
      </c>
      <c r="R57" s="1997"/>
      <c r="S57" s="1352">
        <f>SUM(S51:S55)</f>
        <v>0</v>
      </c>
      <c r="T57" s="2007" t="s">
        <v>52</v>
      </c>
      <c r="U57" s="2008"/>
      <c r="V57" s="1896"/>
      <c r="W57" s="1367"/>
      <c r="X57" s="1368"/>
      <c r="Y57" s="1891" t="s">
        <v>163</v>
      </c>
      <c r="Z57" s="1892"/>
      <c r="AA57" s="1352">
        <f>SUM(AA51:AA55)</f>
        <v>0</v>
      </c>
      <c r="AB57" s="1893" t="s">
        <v>52</v>
      </c>
      <c r="AC57" s="1894"/>
      <c r="AD57" s="1896"/>
      <c r="AE57" s="1367"/>
      <c r="AF57" s="1368"/>
      <c r="AG57" s="2009"/>
      <c r="AH57" s="1993"/>
      <c r="AI57" s="85"/>
      <c r="AJ57" s="1993"/>
      <c r="AK57" s="1993"/>
      <c r="AL57" s="1993"/>
      <c r="AM57" s="1993"/>
      <c r="AN57" s="1993"/>
      <c r="AO57" s="85"/>
      <c r="AP57" s="1993"/>
      <c r="AQ57" s="1993"/>
      <c r="AR57" s="1993"/>
      <c r="AS57" s="81">
        <f t="shared" si="11"/>
        <v>0</v>
      </c>
      <c r="AT57" s="82" t="s">
        <v>52</v>
      </c>
    </row>
    <row r="58" spans="1:56" s="81" customFormat="1" ht="27" customHeight="1" thickTop="1" thickBot="1">
      <c r="A58" s="1886" t="s">
        <v>132</v>
      </c>
      <c r="B58" s="1887"/>
      <c r="C58" s="479">
        <v>3</v>
      </c>
      <c r="D58" s="1888" t="s">
        <v>52</v>
      </c>
      <c r="E58" s="1889"/>
      <c r="F58" s="1889"/>
      <c r="G58" s="745"/>
      <c r="H58" s="746"/>
      <c r="I58" s="1886" t="s">
        <v>132</v>
      </c>
      <c r="J58" s="1887"/>
      <c r="K58" s="480"/>
      <c r="L58" s="1888" t="s">
        <v>52</v>
      </c>
      <c r="M58" s="1889"/>
      <c r="N58" s="1889"/>
      <c r="O58" s="745"/>
      <c r="P58" s="746"/>
      <c r="Q58" s="1886" t="s">
        <v>132</v>
      </c>
      <c r="R58" s="1887"/>
      <c r="S58" s="480"/>
      <c r="T58" s="1888" t="s">
        <v>52</v>
      </c>
      <c r="U58" s="1889"/>
      <c r="V58" s="1889"/>
      <c r="W58" s="745"/>
      <c r="X58" s="746"/>
      <c r="Y58" s="1886" t="s">
        <v>132</v>
      </c>
      <c r="Z58" s="1887"/>
      <c r="AA58" s="479"/>
      <c r="AB58" s="1888" t="s">
        <v>52</v>
      </c>
      <c r="AC58" s="1889"/>
      <c r="AD58" s="1889"/>
      <c r="AE58" s="745"/>
      <c r="AF58" s="746"/>
      <c r="AG58" s="1991"/>
      <c r="AH58" s="1992"/>
      <c r="AI58" s="750"/>
      <c r="AJ58" s="1993"/>
      <c r="AK58" s="1993"/>
      <c r="AL58" s="1993"/>
      <c r="AM58" s="1992"/>
      <c r="AN58" s="1992"/>
      <c r="AO58" s="750"/>
      <c r="AP58" s="1993"/>
      <c r="AQ58" s="1993"/>
      <c r="AR58" s="1993"/>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A10:B10"/>
    <mergeCell ref="L10:N10"/>
    <mergeCell ref="Q10:R10"/>
    <mergeCell ref="A7:I7"/>
    <mergeCell ref="L7:N7"/>
    <mergeCell ref="Q7:R7"/>
    <mergeCell ref="S7:V7"/>
    <mergeCell ref="A8:B8"/>
    <mergeCell ref="D8:I10"/>
    <mergeCell ref="L8:N8"/>
    <mergeCell ref="Q8:R8"/>
    <mergeCell ref="S8:V8"/>
    <mergeCell ref="A9:B9"/>
    <mergeCell ref="S9:V10"/>
    <mergeCell ref="S4:V4"/>
    <mergeCell ref="AJ4:AN4"/>
    <mergeCell ref="AO4:AR4"/>
    <mergeCell ref="A6:I6"/>
    <mergeCell ref="K6:V6"/>
    <mergeCell ref="L2:R2"/>
    <mergeCell ref="S2:V2"/>
    <mergeCell ref="AJ2:AN2"/>
    <mergeCell ref="AO2:AR2"/>
    <mergeCell ref="L3:R3"/>
    <mergeCell ref="S3:V3"/>
    <mergeCell ref="AJ3:AN3"/>
    <mergeCell ref="AO3:AR3"/>
    <mergeCell ref="Z6:AI6"/>
    <mergeCell ref="D62:I62"/>
    <mergeCell ref="D63:I63"/>
    <mergeCell ref="D64:I64"/>
    <mergeCell ref="D65:I65"/>
    <mergeCell ref="D66:I66"/>
    <mergeCell ref="D67:I67"/>
    <mergeCell ref="D68:I68"/>
    <mergeCell ref="D69:I69"/>
    <mergeCell ref="L4:R4"/>
    <mergeCell ref="L9:N9"/>
    <mergeCell ref="Q9:R9"/>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15" t="s">
        <v>450</v>
      </c>
      <c r="M2" s="1915"/>
      <c r="N2" s="1915"/>
      <c r="O2" s="1915"/>
      <c r="P2" s="1915"/>
      <c r="Q2" s="1915"/>
      <c r="R2" s="1915"/>
      <c r="S2" s="1913" t="str">
        <f>Data!$A$11</f>
        <v>離職者等再就職訓練（６箇月）</v>
      </c>
      <c r="T2" s="1913"/>
      <c r="U2" s="1913"/>
      <c r="V2" s="1913"/>
      <c r="W2" s="1405"/>
      <c r="X2" s="1405"/>
      <c r="Y2" s="72"/>
      <c r="Z2" s="72"/>
      <c r="AA2" s="73"/>
      <c r="AB2" s="73"/>
      <c r="AC2" s="73"/>
      <c r="AD2" s="72"/>
      <c r="AE2" s="72"/>
      <c r="AF2" s="72"/>
      <c r="AG2" s="72"/>
      <c r="AH2" s="72"/>
      <c r="AI2" s="73"/>
      <c r="AJ2" s="1915" t="s">
        <v>450</v>
      </c>
      <c r="AK2" s="1915"/>
      <c r="AL2" s="1915"/>
      <c r="AM2" s="1915"/>
      <c r="AN2" s="1915"/>
      <c r="AO2" s="1913" t="str">
        <f>Data!$A$11</f>
        <v>離職者等再就職訓練（６箇月）</v>
      </c>
      <c r="AP2" s="1913"/>
      <c r="AQ2" s="1913"/>
      <c r="AR2" s="1913"/>
      <c r="AS2" s="452"/>
      <c r="AT2" s="452"/>
      <c r="AY2" s="228" t="s">
        <v>401</v>
      </c>
      <c r="AZ2" s="461">
        <f>VLOOKUP(S2,祝日!$K$3:$S$25,2,FALSE)</f>
        <v>6</v>
      </c>
      <c r="BA2" s="449" t="s">
        <v>466</v>
      </c>
    </row>
    <row r="3" spans="1:55" ht="15" customHeight="1" thickBot="1">
      <c r="A3" s="74"/>
      <c r="B3" s="455" t="s">
        <v>464</v>
      </c>
      <c r="C3" s="1291">
        <v>45625</v>
      </c>
      <c r="D3" s="575" t="s">
        <v>516</v>
      </c>
      <c r="E3" s="73"/>
      <c r="F3" s="72"/>
      <c r="G3" s="72"/>
      <c r="H3" s="72"/>
      <c r="I3" s="72"/>
      <c r="J3" s="459"/>
      <c r="K3" s="73"/>
      <c r="L3" s="1915" t="s">
        <v>131</v>
      </c>
      <c r="M3" s="1915"/>
      <c r="N3" s="1915"/>
      <c r="O3" s="1915"/>
      <c r="P3" s="1915"/>
      <c r="Q3" s="1915"/>
      <c r="R3" s="1915"/>
      <c r="S3" s="1914" t="str">
        <f>Data!$A$9</f>
        <v/>
      </c>
      <c r="T3" s="1914"/>
      <c r="U3" s="1914"/>
      <c r="V3" s="1914"/>
      <c r="W3" s="1405"/>
      <c r="X3" s="1405"/>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45505</v>
      </c>
      <c r="AY3" s="228" t="s">
        <v>283</v>
      </c>
      <c r="AZ3" s="804">
        <f>VLOOKUP($S$2,祝日!$K$3:$S$25,3,FALSE)</f>
        <v>600</v>
      </c>
      <c r="BA3" s="752" t="s">
        <v>404</v>
      </c>
      <c r="BB3" s="804">
        <f>VLOOKUP($S$2,祝日!$K$3:$S$25,4,FALSE)</f>
        <v>999</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1405"/>
      <c r="X4" s="1405"/>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45625</v>
      </c>
      <c r="AY4" s="228" t="s">
        <v>452</v>
      </c>
      <c r="AZ4" s="804">
        <f>VLOOKUP($S$2,祝日!$K$3:$S$25,7,FALSE)</f>
        <v>100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406"/>
      <c r="P7" s="1406"/>
      <c r="Q7" s="1950" t="s">
        <v>455</v>
      </c>
      <c r="R7" s="1950"/>
      <c r="S7" s="1971" t="s">
        <v>467</v>
      </c>
      <c r="T7" s="1972"/>
      <c r="U7" s="1972"/>
      <c r="V7" s="1973"/>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16</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407"/>
      <c r="P8" s="1407"/>
      <c r="Q8" s="1952">
        <f>SUM($A$57:$AR$57)</f>
        <v>0</v>
      </c>
      <c r="R8" s="1952"/>
      <c r="S8" s="1942"/>
      <c r="T8" s="1943"/>
      <c r="U8" s="1943"/>
      <c r="V8" s="1944"/>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410"/>
      <c r="P9" s="1410"/>
      <c r="Q9" s="1948">
        <f>SUM($A51:$AR51)</f>
        <v>0</v>
      </c>
      <c r="R9" s="1948"/>
      <c r="S9" s="1959" t="str">
        <f>CONCATENATE("学科＋実技＋キー・スキル講習が",CHAR(10),AZ3,BA3)</f>
        <v>学科＋実技＋キー・スキル講習が
600時間以上</v>
      </c>
      <c r="T9" s="1960"/>
      <c r="U9" s="1960"/>
      <c r="V9" s="1961"/>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401"/>
      <c r="P10" s="1401"/>
      <c r="Q10" s="1948">
        <f t="shared" ref="Q10:Q11" si="0">SUM($A52:$AR52)</f>
        <v>0</v>
      </c>
      <c r="R10" s="1948"/>
      <c r="S10" s="1962"/>
      <c r="T10" s="1963"/>
      <c r="U10" s="1963"/>
      <c r="V10" s="1964"/>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84" t="s">
        <v>1088</v>
      </c>
      <c r="B11" s="1985"/>
      <c r="C11" s="1986"/>
      <c r="D11" s="1985"/>
      <c r="E11" s="1985"/>
      <c r="F11" s="1985"/>
      <c r="G11" s="1985"/>
      <c r="H11" s="1985"/>
      <c r="I11" s="1987"/>
      <c r="J11" s="468"/>
      <c r="K11" s="1297" t="s">
        <v>494</v>
      </c>
      <c r="L11" s="1947">
        <f>'６カリキュラム(デュアル)'!D22</f>
        <v>0</v>
      </c>
      <c r="M11" s="1948"/>
      <c r="N11" s="1948"/>
      <c r="O11" s="1401"/>
      <c r="P11" s="1401"/>
      <c r="Q11" s="1948">
        <f t="shared" si="0"/>
        <v>0</v>
      </c>
      <c r="R11" s="1948"/>
      <c r="S11" s="1916" t="str">
        <f>CONCATENATE(AZ12,BA12,BB12,BC12)</f>
        <v>0時間以上0時間以下</v>
      </c>
      <c r="T11" s="1917"/>
      <c r="U11" s="1917"/>
      <c r="V11" s="1918"/>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1988"/>
      <c r="B12" s="1989"/>
      <c r="C12" s="1989"/>
      <c r="D12" s="1989"/>
      <c r="E12" s="1989"/>
      <c r="F12" s="1989"/>
      <c r="G12" s="1989"/>
      <c r="H12" s="1989"/>
      <c r="I12" s="1990"/>
      <c r="J12" s="468"/>
      <c r="K12" s="1297" t="s">
        <v>1013</v>
      </c>
      <c r="L12" s="1947">
        <f>'６カリキュラム(デュアル)'!D23</f>
        <v>0</v>
      </c>
      <c r="M12" s="1948"/>
      <c r="N12" s="1948"/>
      <c r="O12" s="1401"/>
      <c r="P12" s="1401"/>
      <c r="Q12" s="1948">
        <f>SUM($A55:$AR55)</f>
        <v>0</v>
      </c>
      <c r="R12" s="1948"/>
      <c r="S12" s="1916" t="str">
        <f>CONCATENATE(AZ13,BA13,BB13,BC13)</f>
        <v>0時間以上</v>
      </c>
      <c r="T12" s="1917"/>
      <c r="U12" s="1917"/>
      <c r="V12" s="1918"/>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82">
        <f>'６カリキュラム(デュアル)'!D24</f>
        <v>0</v>
      </c>
      <c r="M13" s="1983"/>
      <c r="N13" s="1983"/>
      <c r="O13" s="1369"/>
      <c r="P13" s="1369"/>
      <c r="Q13" s="1983">
        <f>SUM($A54:$AR54)</f>
        <v>0</v>
      </c>
      <c r="R13" s="1983"/>
      <c r="S13" s="1979" t="str">
        <f>CONCATENATE(AZ14,BA14)</f>
        <v>24時間以上</v>
      </c>
      <c r="T13" s="1980"/>
      <c r="U13" s="1980"/>
      <c r="V13" s="1981"/>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24</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74">
        <f>MONTH(A17)</f>
        <v>8</v>
      </c>
      <c r="B16" s="1975"/>
      <c r="C16" s="1976"/>
      <c r="D16" s="784" t="s">
        <v>445</v>
      </c>
      <c r="E16" s="784" t="s">
        <v>447</v>
      </c>
      <c r="F16" s="785" t="s">
        <v>481</v>
      </c>
      <c r="G16" s="785" t="s">
        <v>449</v>
      </c>
      <c r="H16" s="786" t="s">
        <v>482</v>
      </c>
      <c r="I16" s="1974">
        <f>MONTH(I17)</f>
        <v>9</v>
      </c>
      <c r="J16" s="1975"/>
      <c r="K16" s="1976"/>
      <c r="L16" s="784" t="s">
        <v>445</v>
      </c>
      <c r="M16" s="784" t="s">
        <v>447</v>
      </c>
      <c r="N16" s="785" t="s">
        <v>481</v>
      </c>
      <c r="O16" s="785" t="s">
        <v>449</v>
      </c>
      <c r="P16" s="786" t="s">
        <v>482</v>
      </c>
      <c r="Q16" s="1974">
        <f>MONTH(Q17)</f>
        <v>10</v>
      </c>
      <c r="R16" s="1975"/>
      <c r="S16" s="1976"/>
      <c r="T16" s="784" t="s">
        <v>445</v>
      </c>
      <c r="U16" s="784" t="s">
        <v>447</v>
      </c>
      <c r="V16" s="785" t="s">
        <v>481</v>
      </c>
      <c r="W16" s="785" t="s">
        <v>449</v>
      </c>
      <c r="X16" s="786" t="s">
        <v>482</v>
      </c>
      <c r="Y16" s="1974">
        <f>MONTH(Y17)</f>
        <v>11</v>
      </c>
      <c r="Z16" s="1975"/>
      <c r="AA16" s="1976"/>
      <c r="AB16" s="784" t="s">
        <v>445</v>
      </c>
      <c r="AC16" s="784" t="s">
        <v>447</v>
      </c>
      <c r="AD16" s="785" t="s">
        <v>481</v>
      </c>
      <c r="AE16" s="785" t="s">
        <v>449</v>
      </c>
      <c r="AF16" s="786" t="s">
        <v>482</v>
      </c>
      <c r="AG16" s="1977"/>
      <c r="AH16" s="1978"/>
      <c r="AI16" s="1978"/>
      <c r="AJ16" s="496"/>
      <c r="AK16" s="496"/>
      <c r="AL16" s="497"/>
      <c r="AM16" s="1978"/>
      <c r="AN16" s="1978"/>
      <c r="AO16" s="1978"/>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99"/>
      <c r="H49" s="1400"/>
      <c r="I49" s="1875" t="s">
        <v>56</v>
      </c>
      <c r="J49" s="1876"/>
      <c r="K49" s="1338">
        <f>COUNTIF(K17:K47,"*")-COUNTIF(K17:K47,"修了式")-COUNTIF(K17:K47,"休校日")-COUNTIF(K17:K47,"就職活動日*")</f>
        <v>0</v>
      </c>
      <c r="L49" s="1877" t="s">
        <v>55</v>
      </c>
      <c r="M49" s="1878"/>
      <c r="N49" s="1878"/>
      <c r="O49" s="1399"/>
      <c r="P49" s="1400"/>
      <c r="Q49" s="1875" t="s">
        <v>56</v>
      </c>
      <c r="R49" s="1876"/>
      <c r="S49" s="1338">
        <f>COUNTIF(S17:S47,"*")-COUNTIF(S17:S47,"修了式")-COUNTIF(S17:S47,"休校日")-COUNTIF(S17:S47,"就職活動日*")</f>
        <v>0</v>
      </c>
      <c r="T49" s="1877" t="s">
        <v>55</v>
      </c>
      <c r="U49" s="1878"/>
      <c r="V49" s="1878"/>
      <c r="W49" s="1399"/>
      <c r="X49" s="1400"/>
      <c r="Y49" s="1875" t="s">
        <v>56</v>
      </c>
      <c r="Z49" s="1876"/>
      <c r="AA49" s="1337">
        <f>COUNTIF(AA17:AA47,"*")-COUNTIF(AA17:AA47,"修了式")-COUNTIF(AA17:AA47,"休校日")-COUNTIF(AA17:AA47,"就職活動日*")</f>
        <v>0</v>
      </c>
      <c r="AB49" s="1877" t="s">
        <v>55</v>
      </c>
      <c r="AC49" s="1878"/>
      <c r="AD49" s="1878"/>
      <c r="AE49" s="1399"/>
      <c r="AF49" s="1400"/>
      <c r="AG49" s="1991"/>
      <c r="AH49" s="1992"/>
      <c r="AI49" s="85"/>
      <c r="AJ49" s="1993"/>
      <c r="AK49" s="1993"/>
      <c r="AL49" s="1993"/>
      <c r="AM49" s="1992"/>
      <c r="AN49" s="1992"/>
      <c r="AO49" s="85"/>
      <c r="AP49" s="1993"/>
      <c r="AQ49" s="1993"/>
      <c r="AR49" s="1993"/>
      <c r="AS49" s="85">
        <f>SUM(A49:AR49)</f>
        <v>0</v>
      </c>
      <c r="AT49" s="82" t="s">
        <v>55</v>
      </c>
    </row>
    <row r="50" spans="1:56" s="81" customFormat="1" ht="27" customHeight="1" thickBot="1">
      <c r="A50" s="1912" t="s">
        <v>292</v>
      </c>
      <c r="B50" s="1898"/>
      <c r="C50" s="1341">
        <f>COUNTIF(C17:C47,"*★*")</f>
        <v>0</v>
      </c>
      <c r="D50" s="1994" t="s">
        <v>1093</v>
      </c>
      <c r="E50" s="1995"/>
      <c r="F50" s="1995"/>
      <c r="G50" s="1358"/>
      <c r="H50" s="1359"/>
      <c r="I50" s="1912" t="s">
        <v>292</v>
      </c>
      <c r="J50" s="1898"/>
      <c r="K50" s="1341">
        <f>COUNTIF(K17:K47,"*★*")</f>
        <v>0</v>
      </c>
      <c r="L50" s="1994" t="s">
        <v>1093</v>
      </c>
      <c r="M50" s="1995"/>
      <c r="N50" s="1995"/>
      <c r="O50" s="1358"/>
      <c r="P50" s="1359"/>
      <c r="Q50" s="1912" t="s">
        <v>292</v>
      </c>
      <c r="R50" s="1898"/>
      <c r="S50" s="1341">
        <f>COUNTIF(S17:S47,"*★*")</f>
        <v>0</v>
      </c>
      <c r="T50" s="1994" t="s">
        <v>1093</v>
      </c>
      <c r="U50" s="1995"/>
      <c r="V50" s="1995"/>
      <c r="W50" s="1358"/>
      <c r="X50" s="1359"/>
      <c r="Y50" s="1912" t="s">
        <v>292</v>
      </c>
      <c r="Z50" s="1898"/>
      <c r="AA50" s="1341">
        <f>COUNTIF(AA17:AA47,"*★*")</f>
        <v>0</v>
      </c>
      <c r="AB50" s="1994" t="s">
        <v>1093</v>
      </c>
      <c r="AC50" s="1995"/>
      <c r="AD50" s="1995"/>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2001" t="s">
        <v>53</v>
      </c>
      <c r="B51" s="2002"/>
      <c r="C51" s="1360">
        <f>SUM(D17:D47)</f>
        <v>0</v>
      </c>
      <c r="D51" s="2003" t="s">
        <v>52</v>
      </c>
      <c r="E51" s="2004"/>
      <c r="F51" s="2005"/>
      <c r="G51" s="1417"/>
      <c r="H51" s="1362"/>
      <c r="I51" s="2001" t="s">
        <v>53</v>
      </c>
      <c r="J51" s="2002"/>
      <c r="K51" s="1360">
        <f>SUM(L17:L47)</f>
        <v>0</v>
      </c>
      <c r="L51" s="2003" t="s">
        <v>52</v>
      </c>
      <c r="M51" s="2004"/>
      <c r="N51" s="2005"/>
      <c r="O51" s="1417"/>
      <c r="P51" s="1362"/>
      <c r="Q51" s="2001" t="s">
        <v>53</v>
      </c>
      <c r="R51" s="2002"/>
      <c r="S51" s="1360">
        <f>SUM(T17:T47)</f>
        <v>0</v>
      </c>
      <c r="T51" s="2003" t="s">
        <v>52</v>
      </c>
      <c r="U51" s="2006"/>
      <c r="V51" s="2005"/>
      <c r="W51" s="1417"/>
      <c r="X51" s="1362"/>
      <c r="Y51" s="2001" t="s">
        <v>53</v>
      </c>
      <c r="Z51" s="2002"/>
      <c r="AA51" s="1360">
        <f>SUM(AB17:AB47)</f>
        <v>0</v>
      </c>
      <c r="AB51" s="2003" t="s">
        <v>52</v>
      </c>
      <c r="AC51" s="2004"/>
      <c r="AD51" s="2005"/>
      <c r="AE51" s="1417"/>
      <c r="AF51" s="1362"/>
      <c r="AG51" s="1991"/>
      <c r="AH51" s="1992"/>
      <c r="AI51" s="812"/>
      <c r="AJ51" s="1993"/>
      <c r="AK51" s="1993"/>
      <c r="AL51" s="1993"/>
      <c r="AM51" s="1992"/>
      <c r="AN51" s="1992"/>
      <c r="AO51" s="1416"/>
      <c r="AP51" s="1993"/>
      <c r="AQ51" s="1993"/>
      <c r="AR51" s="1993"/>
      <c r="AS51" s="81">
        <f t="shared" ref="AS51:AS57" si="10">SUM(A51:AR51)</f>
        <v>0</v>
      </c>
      <c r="AT51" s="82" t="s">
        <v>52</v>
      </c>
    </row>
    <row r="52" spans="1:56" s="81" customFormat="1" ht="27" customHeight="1">
      <c r="A52" s="2000" t="s">
        <v>54</v>
      </c>
      <c r="B52" s="1876"/>
      <c r="C52" s="1337">
        <f>SUM(E17:E47)</f>
        <v>0</v>
      </c>
      <c r="D52" s="1877" t="s">
        <v>52</v>
      </c>
      <c r="E52" s="1878"/>
      <c r="F52" s="1878"/>
      <c r="G52" s="1399"/>
      <c r="H52" s="1400"/>
      <c r="I52" s="1875" t="s">
        <v>54</v>
      </c>
      <c r="J52" s="1876"/>
      <c r="K52" s="1337">
        <f>SUM(M17:M47)</f>
        <v>0</v>
      </c>
      <c r="L52" s="1877" t="s">
        <v>52</v>
      </c>
      <c r="M52" s="1878"/>
      <c r="N52" s="1878"/>
      <c r="O52" s="1399"/>
      <c r="P52" s="1400"/>
      <c r="Q52" s="1875" t="s">
        <v>54</v>
      </c>
      <c r="R52" s="1876"/>
      <c r="S52" s="1337">
        <f>SUM(U17:U47)</f>
        <v>0</v>
      </c>
      <c r="T52" s="1877" t="s">
        <v>52</v>
      </c>
      <c r="U52" s="1878"/>
      <c r="V52" s="1878"/>
      <c r="W52" s="1399"/>
      <c r="X52" s="1400"/>
      <c r="Y52" s="1875" t="s">
        <v>54</v>
      </c>
      <c r="Z52" s="1876"/>
      <c r="AA52" s="1337">
        <f>SUM(AC17:AC47)</f>
        <v>0</v>
      </c>
      <c r="AB52" s="1877" t="s">
        <v>52</v>
      </c>
      <c r="AC52" s="1878"/>
      <c r="AD52" s="1878"/>
      <c r="AE52" s="1399"/>
      <c r="AF52" s="1400"/>
      <c r="AG52" s="1991"/>
      <c r="AH52" s="1992"/>
      <c r="AI52" s="1416"/>
      <c r="AJ52" s="1993"/>
      <c r="AK52" s="1993"/>
      <c r="AL52" s="1993"/>
      <c r="AM52" s="1992"/>
      <c r="AN52" s="1992"/>
      <c r="AO52" s="1416"/>
      <c r="AP52" s="1993"/>
      <c r="AQ52" s="1993"/>
      <c r="AR52" s="1993"/>
      <c r="AS52" s="81">
        <f t="shared" si="10"/>
        <v>0</v>
      </c>
      <c r="AT52" s="82" t="s">
        <v>52</v>
      </c>
    </row>
    <row r="53" spans="1:56" s="81" customFormat="1" ht="27" customHeight="1">
      <c r="A53" s="1998" t="s">
        <v>496</v>
      </c>
      <c r="B53" s="1881"/>
      <c r="C53" s="1347">
        <f>SUM(F17:F47)</f>
        <v>0</v>
      </c>
      <c r="D53" s="1882" t="s">
        <v>52</v>
      </c>
      <c r="E53" s="1883"/>
      <c r="F53" s="1883"/>
      <c r="G53" s="1408"/>
      <c r="H53" s="1409"/>
      <c r="I53" s="1880" t="s">
        <v>495</v>
      </c>
      <c r="J53" s="1881"/>
      <c r="K53" s="1347">
        <f>SUM(N17:N47)</f>
        <v>0</v>
      </c>
      <c r="L53" s="1882" t="s">
        <v>52</v>
      </c>
      <c r="M53" s="1883"/>
      <c r="N53" s="1883"/>
      <c r="O53" s="1408"/>
      <c r="P53" s="1409"/>
      <c r="Q53" s="1999" t="s">
        <v>495</v>
      </c>
      <c r="R53" s="1881"/>
      <c r="S53" s="1347">
        <f>SUM(V17:V47)</f>
        <v>0</v>
      </c>
      <c r="T53" s="1882" t="s">
        <v>52</v>
      </c>
      <c r="U53" s="1883"/>
      <c r="V53" s="1883"/>
      <c r="W53" s="1408"/>
      <c r="X53" s="1409"/>
      <c r="Y53" s="1880" t="s">
        <v>495</v>
      </c>
      <c r="Z53" s="1881"/>
      <c r="AA53" s="1347">
        <f>SUM(AD17:AD47)</f>
        <v>0</v>
      </c>
      <c r="AB53" s="1882" t="s">
        <v>52</v>
      </c>
      <c r="AC53" s="1883"/>
      <c r="AD53" s="1883"/>
      <c r="AE53" s="1408"/>
      <c r="AF53" s="1409"/>
      <c r="AG53" s="1991"/>
      <c r="AH53" s="1992"/>
      <c r="AI53" s="1416"/>
      <c r="AJ53" s="1993"/>
      <c r="AK53" s="1993"/>
      <c r="AL53" s="1993"/>
      <c r="AM53" s="1992"/>
      <c r="AN53" s="1992"/>
      <c r="AO53" s="1416"/>
      <c r="AP53" s="1993"/>
      <c r="AQ53" s="1993"/>
      <c r="AR53" s="1993"/>
      <c r="AS53" s="81">
        <f t="shared" si="10"/>
        <v>0</v>
      </c>
      <c r="AT53" s="82" t="s">
        <v>52</v>
      </c>
    </row>
    <row r="54" spans="1:56" s="81" customFormat="1" ht="27" customHeight="1">
      <c r="A54" s="1998" t="s">
        <v>57</v>
      </c>
      <c r="B54" s="1881"/>
      <c r="C54" s="1347">
        <f>SUM(G17:G47)</f>
        <v>0</v>
      </c>
      <c r="D54" s="1882" t="s">
        <v>52</v>
      </c>
      <c r="E54" s="1883"/>
      <c r="F54" s="1883"/>
      <c r="G54" s="1408"/>
      <c r="H54" s="1409"/>
      <c r="I54" s="1880" t="s">
        <v>57</v>
      </c>
      <c r="J54" s="1881"/>
      <c r="K54" s="1347">
        <f>SUM(O17:O47)</f>
        <v>0</v>
      </c>
      <c r="L54" s="1882" t="s">
        <v>52</v>
      </c>
      <c r="M54" s="1883"/>
      <c r="N54" s="1883"/>
      <c r="O54" s="1408"/>
      <c r="P54" s="1409"/>
      <c r="Q54" s="1999" t="s">
        <v>57</v>
      </c>
      <c r="R54" s="1881"/>
      <c r="S54" s="1347">
        <f>SUM(W17:W47)</f>
        <v>0</v>
      </c>
      <c r="T54" s="1882" t="s">
        <v>52</v>
      </c>
      <c r="U54" s="1883"/>
      <c r="V54" s="1883"/>
      <c r="W54" s="1408"/>
      <c r="X54" s="1409"/>
      <c r="Y54" s="1880" t="s">
        <v>57</v>
      </c>
      <c r="Z54" s="1881"/>
      <c r="AA54" s="1347">
        <f>SUM(AE17:AE47)</f>
        <v>0</v>
      </c>
      <c r="AB54" s="1882" t="s">
        <v>52</v>
      </c>
      <c r="AC54" s="1883"/>
      <c r="AD54" s="1883"/>
      <c r="AE54" s="1408"/>
      <c r="AF54" s="1409"/>
      <c r="AG54" s="1991"/>
      <c r="AH54" s="1992"/>
      <c r="AI54" s="1416"/>
      <c r="AJ54" s="1993"/>
      <c r="AK54" s="1993"/>
      <c r="AL54" s="1993"/>
      <c r="AM54" s="1992"/>
      <c r="AN54" s="1992"/>
      <c r="AO54" s="1416"/>
      <c r="AP54" s="1993"/>
      <c r="AQ54" s="1993"/>
      <c r="AR54" s="1993"/>
      <c r="AS54" s="81">
        <f t="shared" si="10"/>
        <v>0</v>
      </c>
      <c r="AT54" s="82" t="s">
        <v>52</v>
      </c>
    </row>
    <row r="55" spans="1:56" s="81" customFormat="1" ht="27" customHeight="1" thickBot="1">
      <c r="A55" s="1880" t="s">
        <v>483</v>
      </c>
      <c r="B55" s="1881"/>
      <c r="C55" s="1347">
        <f>SUM(H17:H47)</f>
        <v>0</v>
      </c>
      <c r="D55" s="1882" t="s">
        <v>52</v>
      </c>
      <c r="E55" s="1883"/>
      <c r="F55" s="1883"/>
      <c r="G55" s="1408"/>
      <c r="H55" s="1409"/>
      <c r="I55" s="1880" t="s">
        <v>483</v>
      </c>
      <c r="J55" s="1881"/>
      <c r="K55" s="1347">
        <f>SUM(P17:P47)</f>
        <v>0</v>
      </c>
      <c r="L55" s="1882" t="s">
        <v>52</v>
      </c>
      <c r="M55" s="1883"/>
      <c r="N55" s="1883"/>
      <c r="O55" s="1408"/>
      <c r="P55" s="1409"/>
      <c r="Q55" s="1999" t="s">
        <v>483</v>
      </c>
      <c r="R55" s="1881"/>
      <c r="S55" s="1347">
        <f>SUM(X17:X47)</f>
        <v>0</v>
      </c>
      <c r="T55" s="1882" t="s">
        <v>52</v>
      </c>
      <c r="U55" s="1883"/>
      <c r="V55" s="1883"/>
      <c r="W55" s="1408"/>
      <c r="X55" s="1409"/>
      <c r="Y55" s="1880" t="s">
        <v>483</v>
      </c>
      <c r="Z55" s="1881"/>
      <c r="AA55" s="1347">
        <f>SUM(AF17:AF47)</f>
        <v>0</v>
      </c>
      <c r="AB55" s="1882" t="s">
        <v>52</v>
      </c>
      <c r="AC55" s="1883"/>
      <c r="AD55" s="1883"/>
      <c r="AE55" s="1408"/>
      <c r="AF55" s="1409"/>
      <c r="AG55" s="1991"/>
      <c r="AH55" s="1992"/>
      <c r="AI55" s="1416"/>
      <c r="AJ55" s="1993"/>
      <c r="AK55" s="1993"/>
      <c r="AL55" s="1993"/>
      <c r="AM55" s="1992"/>
      <c r="AN55" s="1992"/>
      <c r="AO55" s="1416"/>
      <c r="AP55" s="1993"/>
      <c r="AQ55" s="1993"/>
      <c r="AR55" s="1993"/>
      <c r="AS55" s="81">
        <f t="shared" si="10"/>
        <v>0</v>
      </c>
      <c r="AT55" s="82" t="s">
        <v>52</v>
      </c>
    </row>
    <row r="56" spans="1:56" s="81" customFormat="1" ht="27" hidden="1" customHeight="1" thickBot="1">
      <c r="A56" s="1897" t="s">
        <v>292</v>
      </c>
      <c r="B56" s="1898"/>
      <c r="C56" s="1349"/>
      <c r="D56" s="1899" t="s">
        <v>52</v>
      </c>
      <c r="E56" s="1900"/>
      <c r="F56" s="1900"/>
      <c r="G56" s="1403"/>
      <c r="H56" s="1366"/>
      <c r="I56" s="1897" t="s">
        <v>292</v>
      </c>
      <c r="J56" s="1902"/>
      <c r="K56" s="1349"/>
      <c r="L56" s="1899" t="s">
        <v>52</v>
      </c>
      <c r="M56" s="1900"/>
      <c r="N56" s="1900"/>
      <c r="O56" s="1403"/>
      <c r="P56" s="1366"/>
      <c r="Q56" s="1897" t="s">
        <v>292</v>
      </c>
      <c r="R56" s="1902"/>
      <c r="S56" s="1349"/>
      <c r="T56" s="1899" t="s">
        <v>52</v>
      </c>
      <c r="U56" s="1900"/>
      <c r="V56" s="1900"/>
      <c r="W56" s="1403"/>
      <c r="X56" s="1366"/>
      <c r="Y56" s="1897" t="s">
        <v>292</v>
      </c>
      <c r="Z56" s="1898"/>
      <c r="AA56" s="1349"/>
      <c r="AB56" s="1899" t="s">
        <v>52</v>
      </c>
      <c r="AC56" s="1900"/>
      <c r="AD56" s="1900"/>
      <c r="AE56" s="1403"/>
      <c r="AF56" s="1366"/>
      <c r="AG56" s="2010"/>
      <c r="AH56" s="1993"/>
      <c r="AI56" s="813"/>
      <c r="AJ56" s="2011"/>
      <c r="AK56" s="2011"/>
      <c r="AL56" s="2011"/>
      <c r="AM56" s="2011"/>
      <c r="AN56" s="1993"/>
      <c r="AO56" s="813"/>
      <c r="AP56" s="2011"/>
      <c r="AQ56" s="2011"/>
      <c r="AR56" s="2011"/>
      <c r="AS56" s="1372">
        <f t="shared" si="10"/>
        <v>0</v>
      </c>
      <c r="AT56" s="229" t="s">
        <v>52</v>
      </c>
    </row>
    <row r="57" spans="1:56" s="81" customFormat="1" ht="27" customHeight="1" thickTop="1" thickBot="1">
      <c r="A57" s="1891" t="s">
        <v>163</v>
      </c>
      <c r="B57" s="1892"/>
      <c r="C57" s="1352">
        <f>SUM(C51:C55)</f>
        <v>0</v>
      </c>
      <c r="D57" s="1893" t="s">
        <v>52</v>
      </c>
      <c r="E57" s="1894"/>
      <c r="F57" s="1896"/>
      <c r="G57" s="1414"/>
      <c r="H57" s="1368"/>
      <c r="I57" s="1891" t="s">
        <v>163</v>
      </c>
      <c r="J57" s="1892"/>
      <c r="K57" s="1353">
        <f>SUM(K51:K55)</f>
        <v>0</v>
      </c>
      <c r="L57" s="1894" t="s">
        <v>52</v>
      </c>
      <c r="M57" s="1894"/>
      <c r="N57" s="1896"/>
      <c r="O57" s="1414"/>
      <c r="P57" s="1368"/>
      <c r="Q57" s="1996" t="s">
        <v>163</v>
      </c>
      <c r="R57" s="1997"/>
      <c r="S57" s="1352">
        <f>SUM(S51:S55)</f>
        <v>0</v>
      </c>
      <c r="T57" s="2007" t="s">
        <v>52</v>
      </c>
      <c r="U57" s="2008"/>
      <c r="V57" s="1896"/>
      <c r="W57" s="1414"/>
      <c r="X57" s="1368"/>
      <c r="Y57" s="1891" t="s">
        <v>163</v>
      </c>
      <c r="Z57" s="1892"/>
      <c r="AA57" s="1352">
        <f>SUM(AA51:AA55)</f>
        <v>0</v>
      </c>
      <c r="AB57" s="1893" t="s">
        <v>52</v>
      </c>
      <c r="AC57" s="1894"/>
      <c r="AD57" s="1896"/>
      <c r="AE57" s="1414"/>
      <c r="AF57" s="1368"/>
      <c r="AG57" s="2009"/>
      <c r="AH57" s="1993"/>
      <c r="AI57" s="85"/>
      <c r="AJ57" s="1993"/>
      <c r="AK57" s="1993"/>
      <c r="AL57" s="1993"/>
      <c r="AM57" s="1993"/>
      <c r="AN57" s="1993"/>
      <c r="AO57" s="85"/>
      <c r="AP57" s="1993"/>
      <c r="AQ57" s="1993"/>
      <c r="AR57" s="1993"/>
      <c r="AS57" s="81">
        <f t="shared" si="10"/>
        <v>0</v>
      </c>
      <c r="AT57" s="82" t="s">
        <v>52</v>
      </c>
    </row>
    <row r="58" spans="1:56" s="81" customFormat="1" ht="27" customHeight="1" thickTop="1" thickBot="1">
      <c r="A58" s="1886" t="s">
        <v>132</v>
      </c>
      <c r="B58" s="1887"/>
      <c r="C58" s="479">
        <v>3</v>
      </c>
      <c r="D58" s="1888" t="s">
        <v>52</v>
      </c>
      <c r="E58" s="1889"/>
      <c r="F58" s="1889"/>
      <c r="G58" s="1412"/>
      <c r="H58" s="1413"/>
      <c r="I58" s="1886" t="s">
        <v>132</v>
      </c>
      <c r="J58" s="1887"/>
      <c r="K58" s="480"/>
      <c r="L58" s="1888" t="s">
        <v>52</v>
      </c>
      <c r="M58" s="1889"/>
      <c r="N58" s="1889"/>
      <c r="O58" s="1412"/>
      <c r="P58" s="1413"/>
      <c r="Q58" s="1886" t="s">
        <v>132</v>
      </c>
      <c r="R58" s="1887"/>
      <c r="S58" s="480"/>
      <c r="T58" s="1888" t="s">
        <v>52</v>
      </c>
      <c r="U58" s="1889"/>
      <c r="V58" s="1889"/>
      <c r="W58" s="1412"/>
      <c r="X58" s="1413"/>
      <c r="Y58" s="1886" t="s">
        <v>132</v>
      </c>
      <c r="Z58" s="1887"/>
      <c r="AA58" s="479"/>
      <c r="AB58" s="1888" t="s">
        <v>52</v>
      </c>
      <c r="AC58" s="1889"/>
      <c r="AD58" s="1889"/>
      <c r="AE58" s="1412"/>
      <c r="AF58" s="1413"/>
      <c r="AG58" s="1991"/>
      <c r="AH58" s="1992"/>
      <c r="AI58" s="1416"/>
      <c r="AJ58" s="1993"/>
      <c r="AK58" s="1993"/>
      <c r="AL58" s="1993"/>
      <c r="AM58" s="1992"/>
      <c r="AN58" s="1992"/>
      <c r="AO58" s="1416"/>
      <c r="AP58" s="1993"/>
      <c r="AQ58" s="1993"/>
      <c r="AR58" s="1993"/>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7:I67"/>
    <mergeCell ref="D68:I68"/>
    <mergeCell ref="D69:I69"/>
    <mergeCell ref="A60:B60"/>
    <mergeCell ref="D62:I62"/>
    <mergeCell ref="D63:I63"/>
    <mergeCell ref="D64:I64"/>
    <mergeCell ref="D65:I65"/>
    <mergeCell ref="D66:I66"/>
    <mergeCell ref="Y58:Z58"/>
    <mergeCell ref="AB58:AD58"/>
    <mergeCell ref="AG58:AH58"/>
    <mergeCell ref="AJ58:AL58"/>
    <mergeCell ref="AM58:AN58"/>
    <mergeCell ref="AP58:AR58"/>
    <mergeCell ref="A58:B58"/>
    <mergeCell ref="D58:F58"/>
    <mergeCell ref="I58:J58"/>
    <mergeCell ref="L58:N58"/>
    <mergeCell ref="Q58:R58"/>
    <mergeCell ref="T58:V58"/>
    <mergeCell ref="Y57:Z57"/>
    <mergeCell ref="AB57:AD57"/>
    <mergeCell ref="AG57:AH57"/>
    <mergeCell ref="AJ57:AL57"/>
    <mergeCell ref="AM57:AN57"/>
    <mergeCell ref="AP57:AR57"/>
    <mergeCell ref="A57:B57"/>
    <mergeCell ref="D57:F57"/>
    <mergeCell ref="I57:J57"/>
    <mergeCell ref="L57:N57"/>
    <mergeCell ref="Q57:R57"/>
    <mergeCell ref="T57:V57"/>
    <mergeCell ref="Y56:Z56"/>
    <mergeCell ref="AB56:AD56"/>
    <mergeCell ref="AG56:AH56"/>
    <mergeCell ref="AJ56:AL56"/>
    <mergeCell ref="AM56:AN56"/>
    <mergeCell ref="AP56:AR56"/>
    <mergeCell ref="A56:B56"/>
    <mergeCell ref="D56:F56"/>
    <mergeCell ref="I56:J56"/>
    <mergeCell ref="L56:N56"/>
    <mergeCell ref="Q56:R56"/>
    <mergeCell ref="T56:V56"/>
    <mergeCell ref="Y55:Z55"/>
    <mergeCell ref="AB55:AD55"/>
    <mergeCell ref="AG55:AH55"/>
    <mergeCell ref="AJ55:AL55"/>
    <mergeCell ref="AM55:AN55"/>
    <mergeCell ref="AP55:AR55"/>
    <mergeCell ref="A55:B55"/>
    <mergeCell ref="D55:F55"/>
    <mergeCell ref="I55:J55"/>
    <mergeCell ref="L55:N55"/>
    <mergeCell ref="Q55:R55"/>
    <mergeCell ref="T55:V55"/>
    <mergeCell ref="AJ54:AL54"/>
    <mergeCell ref="AM54:AN54"/>
    <mergeCell ref="AP54:AR54"/>
    <mergeCell ref="A54:B54"/>
    <mergeCell ref="D54:F54"/>
    <mergeCell ref="I54:J54"/>
    <mergeCell ref="L54:N54"/>
    <mergeCell ref="Q54:R54"/>
    <mergeCell ref="T54:V54"/>
    <mergeCell ref="A53:B53"/>
    <mergeCell ref="D53:F53"/>
    <mergeCell ref="I53:J53"/>
    <mergeCell ref="L53:N53"/>
    <mergeCell ref="Q53:R53"/>
    <mergeCell ref="T53:V53"/>
    <mergeCell ref="Y54:Z54"/>
    <mergeCell ref="AB54:AD54"/>
    <mergeCell ref="AG54:AH54"/>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7:I7"/>
    <mergeCell ref="L7:N7"/>
    <mergeCell ref="Q7:R7"/>
    <mergeCell ref="S7:V7"/>
    <mergeCell ref="A8:B8"/>
    <mergeCell ref="D8:I10"/>
    <mergeCell ref="L8:N8"/>
    <mergeCell ref="Q8:R8"/>
    <mergeCell ref="S8:V8"/>
    <mergeCell ref="A9:B9"/>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H24" sqref="H24"/>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3" t="s">
        <v>606</v>
      </c>
      <c r="B1" s="2013"/>
      <c r="C1" s="2013"/>
      <c r="D1" s="2013"/>
      <c r="E1" s="7"/>
    </row>
    <row r="2" spans="1:8" s="9" customFormat="1" ht="18.75" customHeight="1"/>
    <row r="3" spans="1:8" s="9" customFormat="1" ht="28.5" customHeight="1">
      <c r="A3" s="26" t="s">
        <v>450</v>
      </c>
      <c r="B3" s="1913" t="str">
        <f>Data!$A$11</f>
        <v>離職者等再就職訓練（６箇月）</v>
      </c>
      <c r="C3" s="1913"/>
      <c r="D3" s="1913"/>
      <c r="E3" s="452"/>
      <c r="H3" s="726"/>
    </row>
    <row r="4" spans="1:8" s="9" customFormat="1" ht="28.5" customHeight="1">
      <c r="A4" s="26" t="s">
        <v>131</v>
      </c>
      <c r="B4" s="1914" t="str">
        <f>Data!$A$9</f>
        <v/>
      </c>
      <c r="C4" s="1914"/>
      <c r="D4" s="1914"/>
      <c r="E4" s="1139"/>
      <c r="H4" s="726"/>
    </row>
    <row r="5" spans="1:8" s="9" customFormat="1" ht="28.5" customHeight="1">
      <c r="A5" s="26" t="s">
        <v>26</v>
      </c>
      <c r="B5" s="1914" t="str">
        <f>Data!$I$69</f>
        <v/>
      </c>
      <c r="C5" s="1914"/>
      <c r="D5" s="1914"/>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4" t="s">
        <v>33</v>
      </c>
      <c r="B23" s="2015"/>
      <c r="C23" s="55">
        <f>SUM(C9:C22)</f>
        <v>0</v>
      </c>
      <c r="D23" s="16" t="str">
        <f>IF(VLOOKUP($B$3,祝日!$K$3:$S$25,2,FALSE)=6,"上限20,000円","上限15,000円")</f>
        <v>上限20,000円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12" t="s">
        <v>766</v>
      </c>
      <c r="B29" s="2012"/>
      <c r="C29" s="2012"/>
      <c r="D29" s="2012"/>
    </row>
    <row r="30" spans="1:4" s="11" customFormat="1">
      <c r="A30" s="2012"/>
      <c r="B30" s="2012"/>
      <c r="C30" s="2012"/>
      <c r="D30" s="2012"/>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6" t="s">
        <v>1006</v>
      </c>
      <c r="B1" s="2016"/>
      <c r="C1" s="2016"/>
      <c r="D1" s="2016"/>
    </row>
    <row r="2" spans="1:8" ht="14.25">
      <c r="B2" s="233"/>
    </row>
    <row r="3" spans="1:8" s="221" customFormat="1" ht="29.25" customHeight="1">
      <c r="B3" s="2025" t="s">
        <v>414</v>
      </c>
      <c r="C3" s="2025"/>
      <c r="D3" s="1914" t="str">
        <f>Data!$A$9</f>
        <v/>
      </c>
      <c r="E3" s="1914"/>
      <c r="F3" s="1914"/>
      <c r="G3" s="1139"/>
    </row>
    <row r="4" spans="1:8" s="221" customFormat="1" ht="29.25" customHeight="1" thickBot="1">
      <c r="B4" s="2025" t="s">
        <v>26</v>
      </c>
      <c r="C4" s="2025"/>
      <c r="D4" s="1914" t="str">
        <f>Data!$I$69</f>
        <v/>
      </c>
      <c r="E4" s="1914"/>
      <c r="F4" s="1914"/>
    </row>
    <row r="5" spans="1:8" ht="15" thickBot="1">
      <c r="B5" s="233"/>
      <c r="H5" s="677" t="s">
        <v>419</v>
      </c>
    </row>
    <row r="6" spans="1:8" ht="32.25" customHeight="1" thickTop="1" thickBot="1">
      <c r="B6" s="2017" t="s">
        <v>300</v>
      </c>
      <c r="C6" s="388" t="s">
        <v>301</v>
      </c>
      <c r="D6" s="387"/>
      <c r="E6" s="383" t="s">
        <v>380</v>
      </c>
      <c r="H6" s="430"/>
    </row>
    <row r="7" spans="1:8" ht="32.25" customHeight="1" thickTop="1" thickBot="1">
      <c r="B7" s="2018"/>
      <c r="C7" s="389" t="s">
        <v>302</v>
      </c>
      <c r="D7" s="387"/>
      <c r="E7" s="22" t="s">
        <v>380</v>
      </c>
      <c r="H7" s="678"/>
    </row>
    <row r="8" spans="1:8" ht="32.25" customHeight="1" thickTop="1" thickBot="1">
      <c r="B8" s="2018"/>
      <c r="C8" s="390" t="s">
        <v>303</v>
      </c>
      <c r="D8" s="234"/>
      <c r="E8" s="22"/>
      <c r="H8" s="678"/>
    </row>
    <row r="9" spans="1:8" ht="99.95" customHeight="1" thickTop="1" thickBot="1">
      <c r="B9" s="2019" t="s">
        <v>304</v>
      </c>
      <c r="C9" s="385" t="s">
        <v>309</v>
      </c>
      <c r="D9" s="366"/>
      <c r="E9" s="22"/>
      <c r="H9" s="678" t="s">
        <v>719</v>
      </c>
    </row>
    <row r="10" spans="1:8" ht="99.95" customHeight="1" thickTop="1" thickBot="1">
      <c r="B10" s="2020"/>
      <c r="C10" s="386" t="s">
        <v>310</v>
      </c>
      <c r="D10" s="366"/>
      <c r="E10" s="22"/>
      <c r="H10" s="678"/>
    </row>
    <row r="11" spans="1:8" ht="38.25" customHeight="1" thickTop="1" thickBot="1">
      <c r="B11" s="2019" t="s">
        <v>318</v>
      </c>
      <c r="C11" s="6" t="s">
        <v>305</v>
      </c>
      <c r="D11" s="180"/>
      <c r="E11" s="22" t="s">
        <v>380</v>
      </c>
      <c r="H11" s="678"/>
    </row>
    <row r="12" spans="1:8" ht="30.75" customHeight="1" thickTop="1" thickBot="1">
      <c r="B12" s="2020"/>
      <c r="C12" s="256" t="s">
        <v>306</v>
      </c>
      <c r="D12" s="235"/>
      <c r="E12" s="22"/>
      <c r="H12" s="678"/>
    </row>
    <row r="13" spans="1:8" ht="30.75" customHeight="1" thickTop="1" thickBot="1">
      <c r="B13" s="2019" t="s">
        <v>319</v>
      </c>
      <c r="C13" s="256" t="s">
        <v>1127</v>
      </c>
      <c r="D13" s="235"/>
      <c r="E13" s="22"/>
      <c r="H13" s="678"/>
    </row>
    <row r="14" spans="1:8" ht="66.75" customHeight="1" thickTop="1" thickBot="1">
      <c r="B14" s="2020"/>
      <c r="C14" s="250" t="s">
        <v>1128</v>
      </c>
      <c r="D14" s="367"/>
      <c r="E14" s="22"/>
      <c r="H14" s="678" t="s">
        <v>720</v>
      </c>
    </row>
    <row r="15" spans="1:8" ht="64.5" customHeight="1" thickTop="1" thickBot="1">
      <c r="B15" s="2023" t="s">
        <v>320</v>
      </c>
      <c r="C15" s="2024"/>
      <c r="D15" s="366"/>
      <c r="E15" s="22"/>
      <c r="H15" s="678"/>
    </row>
    <row r="16" spans="1:8" ht="145.9" customHeight="1" thickTop="1" thickBot="1">
      <c r="A16" s="2"/>
      <c r="B16" s="2021" t="s">
        <v>381</v>
      </c>
      <c r="C16" s="2022"/>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S23" sqref="S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6" t="s">
        <v>1100</v>
      </c>
      <c r="C2" s="2107"/>
      <c r="D2" s="2107"/>
      <c r="E2" s="2108"/>
      <c r="F2" s="1437" t="s">
        <v>1101</v>
      </c>
      <c r="G2" s="1424"/>
      <c r="H2" s="1424"/>
      <c r="I2" s="1438" t="str">
        <f>CONCATENATE(L3,"字≦",N3,"字")</f>
        <v>0字≦100字</v>
      </c>
      <c r="J2" s="1426" t="s">
        <v>14</v>
      </c>
      <c r="L2" s="243" t="s">
        <v>1115</v>
      </c>
    </row>
    <row r="3" spans="1:16" ht="68.099999999999994" customHeight="1" thickTop="1" thickBot="1">
      <c r="A3" s="1422"/>
      <c r="B3" s="2109">
        <f>'４訓練の概要'!D18</f>
        <v>0</v>
      </c>
      <c r="C3" s="2110"/>
      <c r="D3" s="2110"/>
      <c r="E3" s="2110"/>
      <c r="F3" s="2082"/>
      <c r="G3" s="2083"/>
      <c r="H3" s="2083"/>
      <c r="I3" s="2084"/>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82"/>
      <c r="B5" s="2083"/>
      <c r="C5" s="2083"/>
      <c r="D5" s="2083"/>
      <c r="E5" s="2083"/>
      <c r="F5" s="2083"/>
      <c r="G5" s="2083"/>
      <c r="H5" s="2083"/>
      <c r="I5" s="2083"/>
      <c r="J5" s="2084"/>
      <c r="L5" s="107">
        <f>LEN(A5)</f>
        <v>0</v>
      </c>
      <c r="M5" s="107" t="s">
        <v>1116</v>
      </c>
      <c r="N5" s="107">
        <v>190</v>
      </c>
    </row>
    <row r="6" spans="1:16" ht="17.100000000000001" customHeight="1" thickTop="1">
      <c r="A6" s="2039" t="s">
        <v>1103</v>
      </c>
      <c r="B6" s="2040"/>
      <c r="C6" s="2040"/>
      <c r="D6" s="2040"/>
      <c r="E6" s="2040"/>
      <c r="F6" s="2040"/>
      <c r="G6" s="2040"/>
      <c r="H6" s="2040"/>
      <c r="I6" s="2040"/>
      <c r="J6" s="2111"/>
    </row>
    <row r="7" spans="1:16" ht="45" customHeight="1">
      <c r="A7" s="2112">
        <f>'４訓練の概要'!D35</f>
        <v>0</v>
      </c>
      <c r="B7" s="2113"/>
      <c r="C7" s="2113"/>
      <c r="D7" s="2113"/>
      <c r="E7" s="2113"/>
      <c r="F7" s="2113"/>
      <c r="G7" s="2113"/>
      <c r="H7" s="2113"/>
      <c r="I7" s="2113"/>
      <c r="J7" s="2114"/>
    </row>
    <row r="8" spans="1:16" ht="17.100000000000001" customHeight="1">
      <c r="A8" s="2039" t="s">
        <v>1104</v>
      </c>
      <c r="B8" s="2040"/>
      <c r="C8" s="2040"/>
      <c r="D8" s="2040"/>
      <c r="E8" s="2040"/>
      <c r="F8" s="2040"/>
      <c r="G8" s="2040"/>
      <c r="H8" s="2040"/>
      <c r="I8" s="2040"/>
      <c r="J8" s="2111"/>
      <c r="P8" s="1440"/>
    </row>
    <row r="9" spans="1:16" ht="18" customHeight="1">
      <c r="A9" s="2029">
        <f>'４訓練の概要'!D33</f>
        <v>0</v>
      </c>
      <c r="B9" s="2030"/>
      <c r="C9" s="2030"/>
      <c r="D9" s="2030"/>
      <c r="E9" s="2030"/>
      <c r="F9" s="2030"/>
      <c r="G9" s="2030"/>
      <c r="H9" s="2030"/>
      <c r="I9" s="2030"/>
      <c r="J9" s="2031"/>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82"/>
      <c r="B11" s="2083"/>
      <c r="C11" s="2083"/>
      <c r="D11" s="2083"/>
      <c r="E11" s="2083"/>
      <c r="F11" s="2083"/>
      <c r="G11" s="2083"/>
      <c r="H11" s="2083"/>
      <c r="I11" s="2083"/>
      <c r="J11" s="2084"/>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82"/>
      <c r="B13" s="2083"/>
      <c r="C13" s="2083"/>
      <c r="D13" s="2083"/>
      <c r="E13" s="2083"/>
      <c r="F13" s="2083"/>
      <c r="G13" s="2083"/>
      <c r="H13" s="2083"/>
      <c r="I13" s="2083"/>
      <c r="J13" s="2084"/>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115" t="s">
        <v>218</v>
      </c>
      <c r="C15" s="2115"/>
      <c r="D15" s="2115"/>
      <c r="E15" s="2115"/>
      <c r="F15" s="2115"/>
      <c r="G15" s="1434" t="s">
        <v>23</v>
      </c>
      <c r="H15" s="1435">
        <f>'６カリキュラム'!D8</f>
        <v>0</v>
      </c>
      <c r="I15" s="1435" t="s">
        <v>219</v>
      </c>
      <c r="J15" s="1436">
        <f>'６カリキュラム'!D9</f>
        <v>0</v>
      </c>
      <c r="K15" s="1423"/>
      <c r="L15" s="1423"/>
    </row>
    <row r="16" spans="1:16" ht="21.95" customHeight="1" thickTop="1">
      <c r="A16" s="1428" t="s">
        <v>53</v>
      </c>
      <c r="B16" s="2076"/>
      <c r="C16" s="2101"/>
      <c r="D16" s="2101"/>
      <c r="E16" s="2101"/>
      <c r="F16" s="2101"/>
      <c r="G16" s="2101"/>
      <c r="H16" s="2101"/>
      <c r="I16" s="2101"/>
      <c r="J16" s="2102"/>
      <c r="L16" s="107" t="s">
        <v>1120</v>
      </c>
    </row>
    <row r="17" spans="1:14" ht="21.95" customHeight="1" thickBot="1">
      <c r="A17" s="1427">
        <f>'６カリキュラム'!D16</f>
        <v>0</v>
      </c>
      <c r="B17" s="2103"/>
      <c r="C17" s="2104"/>
      <c r="D17" s="2104"/>
      <c r="E17" s="2104"/>
      <c r="F17" s="2104"/>
      <c r="G17" s="2104"/>
      <c r="H17" s="2104"/>
      <c r="I17" s="2104"/>
      <c r="J17" s="2105"/>
      <c r="L17" s="107">
        <f>LEN(B16)</f>
        <v>0</v>
      </c>
      <c r="M17" s="107" t="s">
        <v>1116</v>
      </c>
      <c r="N17" s="107">
        <v>130</v>
      </c>
    </row>
    <row r="18" spans="1:14" ht="21.95" customHeight="1" thickTop="1">
      <c r="A18" s="1428" t="s">
        <v>54</v>
      </c>
      <c r="B18" s="2076"/>
      <c r="C18" s="2077"/>
      <c r="D18" s="2077"/>
      <c r="E18" s="2077"/>
      <c r="F18" s="2077"/>
      <c r="G18" s="2077"/>
      <c r="H18" s="2077"/>
      <c r="I18" s="2077"/>
      <c r="J18" s="2078"/>
      <c r="L18" s="107" t="s">
        <v>1121</v>
      </c>
    </row>
    <row r="19" spans="1:14" ht="21.95" customHeight="1" thickBot="1">
      <c r="A19" s="1427">
        <f>'６カリキュラム'!D17</f>
        <v>0</v>
      </c>
      <c r="B19" s="2079"/>
      <c r="C19" s="2080"/>
      <c r="D19" s="2080"/>
      <c r="E19" s="2080"/>
      <c r="F19" s="2080"/>
      <c r="G19" s="2080"/>
      <c r="H19" s="2080"/>
      <c r="I19" s="2080"/>
      <c r="J19" s="2081"/>
      <c r="L19" s="107">
        <f>LEN(B18)</f>
        <v>0</v>
      </c>
      <c r="M19" s="107" t="s">
        <v>1116</v>
      </c>
      <c r="N19" s="107">
        <v>130</v>
      </c>
    </row>
    <row r="20" spans="1:14" ht="30" customHeight="1" thickTop="1" thickBot="1">
      <c r="A20" s="1428" t="s">
        <v>57</v>
      </c>
      <c r="B20" s="2082"/>
      <c r="C20" s="2083"/>
      <c r="D20" s="2083"/>
      <c r="E20" s="2083"/>
      <c r="F20" s="2083"/>
      <c r="G20" s="2083"/>
      <c r="H20" s="2083"/>
      <c r="I20" s="2083"/>
      <c r="J20" s="2084"/>
      <c r="L20" s="107" t="s">
        <v>1122</v>
      </c>
    </row>
    <row r="21" spans="1:14" ht="20.100000000000001" customHeight="1" thickTop="1">
      <c r="A21" s="1425">
        <f>'６カリキュラム'!D18</f>
        <v>0</v>
      </c>
      <c r="B21" s="2085" t="str">
        <f>CONCATENATE("・ジョブ・カードを活用したキャリアコンサルティング（",'６カリキュラム'!E48,")")</f>
        <v>・ジョブ・カードを活用したキャリアコンサルティング（)</v>
      </c>
      <c r="C21" s="2086"/>
      <c r="D21" s="2086"/>
      <c r="E21" s="2086"/>
      <c r="F21" s="2086"/>
      <c r="G21" s="2086"/>
      <c r="H21" s="2086"/>
      <c r="I21" s="2086"/>
      <c r="J21" s="2087"/>
      <c r="L21" s="107">
        <f>LEN(B20)</f>
        <v>0</v>
      </c>
      <c r="M21" s="107" t="s">
        <v>1116</v>
      </c>
      <c r="N21" s="107">
        <v>85</v>
      </c>
    </row>
    <row r="22" spans="1:14" ht="20.100000000000001" customHeight="1">
      <c r="A22" s="1430" t="s">
        <v>1123</v>
      </c>
      <c r="B22" s="1430"/>
      <c r="C22" s="1430"/>
      <c r="D22" s="2028" t="s">
        <v>1124</v>
      </c>
      <c r="E22" s="2028"/>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74" t="s">
        <v>309</v>
      </c>
      <c r="B23" s="2075"/>
      <c r="C23" s="2098">
        <f>'１２オンライン環境等'!D9</f>
        <v>0</v>
      </c>
      <c r="D23" s="2099"/>
      <c r="E23" s="2099"/>
      <c r="F23" s="2099"/>
      <c r="G23" s="2099"/>
      <c r="H23" s="2099"/>
      <c r="I23" s="2099"/>
      <c r="J23" s="2100"/>
    </row>
    <row r="24" spans="1:14" ht="42" customHeight="1">
      <c r="A24" s="2074" t="s">
        <v>310</v>
      </c>
      <c r="B24" s="2075"/>
      <c r="C24" s="2098">
        <f>'１２オンライン環境等'!D10</f>
        <v>0</v>
      </c>
      <c r="D24" s="2099"/>
      <c r="E24" s="2099"/>
      <c r="F24" s="2099"/>
      <c r="G24" s="2099"/>
      <c r="H24" s="2099"/>
      <c r="I24" s="2099"/>
      <c r="J24" s="2100"/>
    </row>
    <row r="25" spans="1:14" ht="18" customHeight="1">
      <c r="A25" s="2091" t="s">
        <v>1126</v>
      </c>
      <c r="B25" s="2092"/>
      <c r="C25" s="2098">
        <f>'１２オンライン環境等'!D13</f>
        <v>0</v>
      </c>
      <c r="D25" s="2099"/>
      <c r="E25" s="2099"/>
      <c r="F25" s="2099"/>
      <c r="G25" s="2099"/>
      <c r="H25" s="2099"/>
      <c r="I25" s="2099"/>
      <c r="J25" s="2100"/>
    </row>
    <row r="26" spans="1:14" ht="20.100000000000001" customHeight="1">
      <c r="A26" s="2093" t="s">
        <v>1125</v>
      </c>
      <c r="B26" s="2094"/>
      <c r="C26" s="2095">
        <f>'１２オンライン環境等'!D11</f>
        <v>0</v>
      </c>
      <c r="D26" s="2096"/>
      <c r="E26" s="2096"/>
      <c r="F26" s="2096"/>
      <c r="G26" s="2096"/>
      <c r="H26" s="2096"/>
      <c r="I26" s="2096"/>
      <c r="J26" s="2097"/>
    </row>
    <row r="27" spans="1:14" ht="17.100000000000001" customHeight="1" thickBot="1">
      <c r="A27" s="2088" t="s">
        <v>1113</v>
      </c>
      <c r="B27" s="2089"/>
      <c r="C27" s="2089"/>
      <c r="D27" s="2089"/>
      <c r="E27" s="2090"/>
      <c r="F27" s="2088" t="s">
        <v>1114</v>
      </c>
      <c r="G27" s="2089"/>
      <c r="H27" s="2089"/>
      <c r="I27" s="2089"/>
      <c r="J27" s="2090"/>
    </row>
    <row r="28" spans="1:14" ht="30" customHeight="1" thickTop="1">
      <c r="A28" s="2053">
        <f>'３訓練実施施設の概要'!D6</f>
        <v>0</v>
      </c>
      <c r="B28" s="2054"/>
      <c r="C28" s="2054"/>
      <c r="D28" s="2054"/>
      <c r="E28" s="2055"/>
      <c r="F28" s="2056"/>
      <c r="G28" s="2057"/>
      <c r="H28" s="2057"/>
      <c r="I28" s="2057"/>
      <c r="J28" s="2058"/>
    </row>
    <row r="29" spans="1:14" ht="18" customHeight="1">
      <c r="A29" s="2029" t="str">
        <f>"　〒"&amp;'３訓練実施施設の概要'!D7</f>
        <v>　〒</v>
      </c>
      <c r="B29" s="2030"/>
      <c r="C29" s="2030"/>
      <c r="D29" s="2030"/>
      <c r="E29" s="2031"/>
      <c r="F29" s="2059"/>
      <c r="G29" s="2060"/>
      <c r="H29" s="2060"/>
      <c r="I29" s="2060"/>
      <c r="J29" s="2061"/>
    </row>
    <row r="30" spans="1:14" ht="30" customHeight="1" thickBot="1">
      <c r="A30" s="2065" t="str">
        <f>"　"&amp;'３訓練実施施設の概要'!D8</f>
        <v>　</v>
      </c>
      <c r="B30" s="2066"/>
      <c r="C30" s="2066"/>
      <c r="D30" s="2066"/>
      <c r="E30" s="2067"/>
      <c r="F30" s="2062"/>
      <c r="G30" s="2063"/>
      <c r="H30" s="2063"/>
      <c r="I30" s="2063"/>
      <c r="J30" s="2064"/>
    </row>
    <row r="31" spans="1:14" ht="18" customHeight="1" thickTop="1" thickBot="1">
      <c r="A31" s="2029" t="str">
        <f>"　TEL："&amp;'３訓練実施施設の概要'!D9</f>
        <v>　TEL：</v>
      </c>
      <c r="B31" s="2030"/>
      <c r="C31" s="2030"/>
      <c r="D31" s="2030"/>
      <c r="E31" s="2031"/>
      <c r="F31" s="2032" t="s">
        <v>1109</v>
      </c>
      <c r="G31" s="2033"/>
      <c r="H31" s="2033"/>
      <c r="I31" s="2033"/>
      <c r="J31" s="2034"/>
    </row>
    <row r="32" spans="1:14" ht="17.100000000000001" customHeight="1" thickTop="1" thickBot="1">
      <c r="A32" s="2039" t="s">
        <v>1110</v>
      </c>
      <c r="B32" s="2040"/>
      <c r="C32" s="2041" t="s">
        <v>344</v>
      </c>
      <c r="D32" s="2042"/>
      <c r="E32" s="2043"/>
      <c r="F32" s="2035"/>
      <c r="G32" s="2033"/>
      <c r="H32" s="2033"/>
      <c r="I32" s="2033"/>
      <c r="J32" s="2034"/>
    </row>
    <row r="33" spans="1:10" ht="54.95" customHeight="1" thickTop="1" thickBot="1">
      <c r="A33" s="2044" t="s">
        <v>1112</v>
      </c>
      <c r="B33" s="2045"/>
      <c r="C33" s="2045"/>
      <c r="D33" s="2045"/>
      <c r="E33" s="2046"/>
      <c r="F33" s="2033"/>
      <c r="G33" s="2033"/>
      <c r="H33" s="2033"/>
      <c r="I33" s="2033"/>
      <c r="J33" s="2034"/>
    </row>
    <row r="34" spans="1:10" ht="17.100000000000001" customHeight="1" thickTop="1">
      <c r="A34" s="2068"/>
      <c r="B34" s="2069"/>
      <c r="C34" s="2069"/>
      <c r="D34" s="2069"/>
      <c r="E34" s="2070"/>
      <c r="F34" s="2033"/>
      <c r="G34" s="2033"/>
      <c r="H34" s="2033"/>
      <c r="I34" s="2033"/>
      <c r="J34" s="2034"/>
    </row>
    <row r="35" spans="1:10" ht="30" customHeight="1" thickBot="1">
      <c r="A35" s="2071"/>
      <c r="B35" s="2072"/>
      <c r="C35" s="2072"/>
      <c r="D35" s="2072"/>
      <c r="E35" s="2073"/>
      <c r="F35" s="2033"/>
      <c r="G35" s="2033"/>
      <c r="H35" s="2033"/>
      <c r="I35" s="2033"/>
      <c r="J35" s="2034"/>
    </row>
    <row r="36" spans="1:10" ht="18" customHeight="1" thickTop="1">
      <c r="A36" s="2047" t="s">
        <v>1111</v>
      </c>
      <c r="B36" s="2049" t="str">
        <f>"教科書代　約"&amp;ROUNDUP('４訓練の概要'!D21,-2)&amp;"円"</f>
        <v>教科書代　約0円</v>
      </c>
      <c r="C36" s="2049"/>
      <c r="D36" s="2049"/>
      <c r="E36" s="2050"/>
      <c r="F36" s="2035"/>
      <c r="G36" s="2033"/>
      <c r="H36" s="2033"/>
      <c r="I36" s="2033"/>
      <c r="J36" s="2034"/>
    </row>
    <row r="37" spans="1:10" ht="18" customHeight="1">
      <c r="A37" s="2047"/>
      <c r="B37" s="2051" t="str">
        <f>"その他　　 約"&amp;ROUNDUP('４訓練の概要'!D22,-2)&amp;"円"</f>
        <v>その他　　 約0円</v>
      </c>
      <c r="C37" s="2051"/>
      <c r="D37" s="2051"/>
      <c r="E37" s="2052"/>
      <c r="F37" s="2035"/>
      <c r="G37" s="2033"/>
      <c r="H37" s="2033"/>
      <c r="I37" s="2033"/>
      <c r="J37" s="2034"/>
    </row>
    <row r="38" spans="1:10" ht="18" customHeight="1">
      <c r="A38" s="2048"/>
      <c r="B38" s="2026">
        <f>'４訓練の概要'!D23</f>
        <v>0</v>
      </c>
      <c r="C38" s="2026"/>
      <c r="D38" s="2026"/>
      <c r="E38" s="2027"/>
      <c r="F38" s="2036"/>
      <c r="G38" s="2037"/>
      <c r="H38" s="2037"/>
      <c r="I38" s="2037"/>
      <c r="J38" s="2038"/>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16:J17"/>
    <mergeCell ref="B2:E2"/>
    <mergeCell ref="B3:E3"/>
    <mergeCell ref="F3:I3"/>
    <mergeCell ref="A5:J5"/>
    <mergeCell ref="A6:J6"/>
    <mergeCell ref="A7:J7"/>
    <mergeCell ref="A8:J8"/>
    <mergeCell ref="A9:J9"/>
    <mergeCell ref="A11:J11"/>
    <mergeCell ref="A13:J13"/>
    <mergeCell ref="B15:F15"/>
    <mergeCell ref="B18:J19"/>
    <mergeCell ref="B20:J20"/>
    <mergeCell ref="B21:J21"/>
    <mergeCell ref="A27:E27"/>
    <mergeCell ref="F27:J27"/>
    <mergeCell ref="A24:B24"/>
    <mergeCell ref="A25:B25"/>
    <mergeCell ref="A26:B26"/>
    <mergeCell ref="C26:J26"/>
    <mergeCell ref="C25:J25"/>
    <mergeCell ref="C24:J24"/>
    <mergeCell ref="C23:J23"/>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P23" sqref="P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6" t="s">
        <v>1100</v>
      </c>
      <c r="C2" s="2107"/>
      <c r="D2" s="2107"/>
      <c r="E2" s="2108"/>
      <c r="F2" s="1437" t="s">
        <v>1101</v>
      </c>
      <c r="G2" s="1424"/>
      <c r="H2" s="1424"/>
      <c r="I2" s="1438" t="str">
        <f>CONCATENATE(L3,"字≦",N3,"字")</f>
        <v>0字≦100字</v>
      </c>
      <c r="J2" s="1426" t="s">
        <v>14</v>
      </c>
      <c r="L2" s="243" t="s">
        <v>1115</v>
      </c>
    </row>
    <row r="3" spans="1:16" ht="68.099999999999994" customHeight="1" thickTop="1" thickBot="1">
      <c r="A3" s="1422"/>
      <c r="B3" s="2109">
        <f>'４訓練の概要'!D18</f>
        <v>0</v>
      </c>
      <c r="C3" s="2110"/>
      <c r="D3" s="2110"/>
      <c r="E3" s="2110"/>
      <c r="F3" s="2082"/>
      <c r="G3" s="2083"/>
      <c r="H3" s="2083"/>
      <c r="I3" s="2084"/>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82"/>
      <c r="B5" s="2083"/>
      <c r="C5" s="2083"/>
      <c r="D5" s="2083"/>
      <c r="E5" s="2083"/>
      <c r="F5" s="2083"/>
      <c r="G5" s="2083"/>
      <c r="H5" s="2083"/>
      <c r="I5" s="2083"/>
      <c r="J5" s="2084"/>
      <c r="L5" s="107">
        <f>LEN(A5)</f>
        <v>0</v>
      </c>
      <c r="M5" s="107" t="s">
        <v>1116</v>
      </c>
      <c r="N5" s="107">
        <v>190</v>
      </c>
    </row>
    <row r="6" spans="1:16" ht="17.100000000000001" customHeight="1" thickTop="1">
      <c r="A6" s="2039" t="s">
        <v>1103</v>
      </c>
      <c r="B6" s="2040"/>
      <c r="C6" s="2040"/>
      <c r="D6" s="2040"/>
      <c r="E6" s="2040"/>
      <c r="F6" s="2040"/>
      <c r="G6" s="2040"/>
      <c r="H6" s="2040"/>
      <c r="I6" s="2040"/>
      <c r="J6" s="2111"/>
    </row>
    <row r="7" spans="1:16" ht="45" customHeight="1">
      <c r="A7" s="2112">
        <f>'４訓練の概要'!D35</f>
        <v>0</v>
      </c>
      <c r="B7" s="2113"/>
      <c r="C7" s="2113"/>
      <c r="D7" s="2113"/>
      <c r="E7" s="2113"/>
      <c r="F7" s="2113"/>
      <c r="G7" s="2113"/>
      <c r="H7" s="2113"/>
      <c r="I7" s="2113"/>
      <c r="J7" s="2114"/>
    </row>
    <row r="8" spans="1:16" ht="17.100000000000001" customHeight="1">
      <c r="A8" s="2039" t="s">
        <v>1104</v>
      </c>
      <c r="B8" s="2040"/>
      <c r="C8" s="2040"/>
      <c r="D8" s="2040"/>
      <c r="E8" s="2040"/>
      <c r="F8" s="2040"/>
      <c r="G8" s="2040"/>
      <c r="H8" s="2040"/>
      <c r="I8" s="2040"/>
      <c r="J8" s="2111"/>
      <c r="P8" s="1440"/>
    </row>
    <row r="9" spans="1:16" ht="18" customHeight="1">
      <c r="A9" s="2029">
        <f>'４訓練の概要'!D33</f>
        <v>0</v>
      </c>
      <c r="B9" s="2030"/>
      <c r="C9" s="2030"/>
      <c r="D9" s="2030"/>
      <c r="E9" s="2030"/>
      <c r="F9" s="2030"/>
      <c r="G9" s="2030"/>
      <c r="H9" s="2030"/>
      <c r="I9" s="2030"/>
      <c r="J9" s="2031"/>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82"/>
      <c r="B11" s="2083"/>
      <c r="C11" s="2083"/>
      <c r="D11" s="2083"/>
      <c r="E11" s="2083"/>
      <c r="F11" s="2083"/>
      <c r="G11" s="2083"/>
      <c r="H11" s="2083"/>
      <c r="I11" s="2083"/>
      <c r="J11" s="2084"/>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82"/>
      <c r="B13" s="2083"/>
      <c r="C13" s="2083"/>
      <c r="D13" s="2083"/>
      <c r="E13" s="2083"/>
      <c r="F13" s="2083"/>
      <c r="G13" s="2083"/>
      <c r="H13" s="2083"/>
      <c r="I13" s="2083"/>
      <c r="J13" s="2084"/>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6" t="s">
        <v>1130</v>
      </c>
      <c r="B15" s="2115"/>
      <c r="C15" s="1445">
        <f>'６カリキュラム(デュアル)'!D8</f>
        <v>0</v>
      </c>
      <c r="D15" s="1435" t="s">
        <v>219</v>
      </c>
      <c r="E15" s="1445">
        <f>'６カリキュラム(デュアル)'!D9</f>
        <v>0</v>
      </c>
      <c r="F15" s="2125" t="s">
        <v>1131</v>
      </c>
      <c r="G15" s="2125"/>
      <c r="H15" s="1445">
        <f>'６カリキュラム(デュアル)'!D12</f>
        <v>0</v>
      </c>
      <c r="I15" s="1435" t="s">
        <v>219</v>
      </c>
      <c r="J15" s="1445">
        <f>'６カリキュラム(デュアル)'!D13</f>
        <v>0</v>
      </c>
      <c r="K15" s="1423"/>
      <c r="L15" s="1423"/>
    </row>
    <row r="16" spans="1:16" ht="21.95" customHeight="1" thickTop="1">
      <c r="A16" s="1428" t="s">
        <v>53</v>
      </c>
      <c r="B16" s="2076"/>
      <c r="C16" s="2101"/>
      <c r="D16" s="2101"/>
      <c r="E16" s="2101"/>
      <c r="F16" s="2101"/>
      <c r="G16" s="2101"/>
      <c r="H16" s="2101"/>
      <c r="I16" s="2101"/>
      <c r="J16" s="2102"/>
      <c r="L16" s="107" t="s">
        <v>1120</v>
      </c>
    </row>
    <row r="17" spans="1:14" ht="21.95" customHeight="1" thickBot="1">
      <c r="A17" s="1427">
        <f>'６カリキュラム(デュアル)'!D20</f>
        <v>0</v>
      </c>
      <c r="B17" s="2103"/>
      <c r="C17" s="2104"/>
      <c r="D17" s="2104"/>
      <c r="E17" s="2104"/>
      <c r="F17" s="2104"/>
      <c r="G17" s="2104"/>
      <c r="H17" s="2104"/>
      <c r="I17" s="2104"/>
      <c r="J17" s="2105"/>
      <c r="L17" s="107">
        <f>LEN(B16)</f>
        <v>0</v>
      </c>
      <c r="M17" s="107" t="s">
        <v>1116</v>
      </c>
      <c r="N17" s="107">
        <v>130</v>
      </c>
    </row>
    <row r="18" spans="1:14" ht="21.95" customHeight="1" thickTop="1">
      <c r="A18" s="1442" t="s">
        <v>494</v>
      </c>
      <c r="B18" s="2076"/>
      <c r="C18" s="2077"/>
      <c r="D18" s="2077"/>
      <c r="E18" s="2077"/>
      <c r="F18" s="2077"/>
      <c r="G18" s="2077"/>
      <c r="H18" s="2077"/>
      <c r="I18" s="2077"/>
      <c r="J18" s="2078"/>
      <c r="L18" s="107" t="s">
        <v>1121</v>
      </c>
    </row>
    <row r="19" spans="1:14" ht="21.95" customHeight="1" thickBot="1">
      <c r="A19" s="1427">
        <f>'６カリキュラム(デュアル)'!D22</f>
        <v>0</v>
      </c>
      <c r="B19" s="2079"/>
      <c r="C19" s="2080"/>
      <c r="D19" s="2080"/>
      <c r="E19" s="2080"/>
      <c r="F19" s="2080"/>
      <c r="G19" s="2080"/>
      <c r="H19" s="2080"/>
      <c r="I19" s="2080"/>
      <c r="J19" s="2081"/>
      <c r="L19" s="107">
        <f>LEN(B18)</f>
        <v>0</v>
      </c>
      <c r="M19" s="107" t="s">
        <v>1116</v>
      </c>
      <c r="N19" s="107">
        <v>130</v>
      </c>
    </row>
    <row r="20" spans="1:14" ht="21.95" customHeight="1" thickTop="1">
      <c r="A20" s="1428" t="s">
        <v>54</v>
      </c>
      <c r="B20" s="2076"/>
      <c r="C20" s="2077"/>
      <c r="D20" s="2077"/>
      <c r="E20" s="2077"/>
      <c r="F20" s="2077"/>
      <c r="G20" s="2077"/>
      <c r="H20" s="2077"/>
      <c r="I20" s="2077"/>
      <c r="J20" s="2078"/>
      <c r="L20" s="107" t="s">
        <v>1121</v>
      </c>
    </row>
    <row r="21" spans="1:14" ht="21.95" customHeight="1" thickBot="1">
      <c r="A21" s="1427">
        <f>'６カリキュラム(デュアル)'!D21</f>
        <v>0</v>
      </c>
      <c r="B21" s="2079"/>
      <c r="C21" s="2080"/>
      <c r="D21" s="2080"/>
      <c r="E21" s="2080"/>
      <c r="F21" s="2080"/>
      <c r="G21" s="2080"/>
      <c r="H21" s="2080"/>
      <c r="I21" s="2080"/>
      <c r="J21" s="2081"/>
      <c r="L21" s="107">
        <f>LEN(B20)</f>
        <v>0</v>
      </c>
      <c r="M21" s="107" t="s">
        <v>1116</v>
      </c>
      <c r="N21" s="107">
        <v>130</v>
      </c>
    </row>
    <row r="22" spans="1:14" ht="21.95" customHeight="1" thickTop="1">
      <c r="A22" s="1428" t="s">
        <v>1129</v>
      </c>
      <c r="B22" s="2116"/>
      <c r="C22" s="2117"/>
      <c r="D22" s="2117"/>
      <c r="E22" s="2117"/>
      <c r="F22" s="2117"/>
      <c r="G22" s="2117"/>
      <c r="H22" s="2117"/>
      <c r="I22" s="2117"/>
      <c r="J22" s="2118"/>
      <c r="L22" s="107" t="s">
        <v>1121</v>
      </c>
    </row>
    <row r="23" spans="1:14" ht="21.95" customHeight="1">
      <c r="A23" s="1443">
        <f>'６カリキュラム(デュアル)'!D23</f>
        <v>0</v>
      </c>
      <c r="B23" s="2119"/>
      <c r="C23" s="2120"/>
      <c r="D23" s="2120"/>
      <c r="E23" s="2120"/>
      <c r="F23" s="2120"/>
      <c r="G23" s="2120"/>
      <c r="H23" s="2120"/>
      <c r="I23" s="2120"/>
      <c r="J23" s="2121"/>
    </row>
    <row r="24" spans="1:14" ht="21.95" customHeight="1" thickBot="1">
      <c r="A24" s="1427" t="s">
        <v>598</v>
      </c>
      <c r="B24" s="2122"/>
      <c r="C24" s="2123"/>
      <c r="D24" s="2123"/>
      <c r="E24" s="2123"/>
      <c r="F24" s="2123"/>
      <c r="G24" s="2123"/>
      <c r="H24" s="2123"/>
      <c r="I24" s="2123"/>
      <c r="J24" s="2124"/>
      <c r="L24" s="107">
        <f>LEN(B22)</f>
        <v>0</v>
      </c>
      <c r="M24" s="107" t="s">
        <v>1116</v>
      </c>
      <c r="N24" s="107">
        <v>130</v>
      </c>
    </row>
    <row r="25" spans="1:14" ht="30" customHeight="1" thickTop="1" thickBot="1">
      <c r="A25" s="1428" t="s">
        <v>57</v>
      </c>
      <c r="B25" s="2082"/>
      <c r="C25" s="2083"/>
      <c r="D25" s="2083"/>
      <c r="E25" s="2083"/>
      <c r="F25" s="2083"/>
      <c r="G25" s="2083"/>
      <c r="H25" s="2083"/>
      <c r="I25" s="2083"/>
      <c r="J25" s="2084"/>
      <c r="L25" s="107" t="s">
        <v>1122</v>
      </c>
    </row>
    <row r="26" spans="1:14" ht="20.100000000000001" customHeight="1" thickTop="1">
      <c r="A26" s="1425">
        <f>'６カリキュラム(デュアル)'!D24</f>
        <v>0</v>
      </c>
      <c r="B26" s="2085" t="str">
        <f>CONCATENATE("・ジョブ・カードを活用したキャリアコンサルティング（",'６カリキュラム(デュアル)'!E78,")")</f>
        <v>・ジョブ・カードを活用したキャリアコンサルティング（)</v>
      </c>
      <c r="C26" s="2086"/>
      <c r="D26" s="2086"/>
      <c r="E26" s="2086"/>
      <c r="F26" s="2086"/>
      <c r="G26" s="2086"/>
      <c r="H26" s="2086"/>
      <c r="I26" s="2086"/>
      <c r="J26" s="2087"/>
      <c r="L26" s="107">
        <f>LEN(B25)</f>
        <v>0</v>
      </c>
      <c r="M26" s="107" t="s">
        <v>1116</v>
      </c>
      <c r="N26" s="107">
        <v>85</v>
      </c>
    </row>
    <row r="27" spans="1:14" ht="17.100000000000001" customHeight="1" thickBot="1">
      <c r="A27" s="2088" t="s">
        <v>1113</v>
      </c>
      <c r="B27" s="2089"/>
      <c r="C27" s="2089"/>
      <c r="D27" s="2089"/>
      <c r="E27" s="2090"/>
      <c r="F27" s="2088" t="s">
        <v>1114</v>
      </c>
      <c r="G27" s="2089"/>
      <c r="H27" s="2089"/>
      <c r="I27" s="2089"/>
      <c r="J27" s="2090"/>
    </row>
    <row r="28" spans="1:14" ht="30" customHeight="1" thickTop="1">
      <c r="A28" s="2053">
        <f>'３訓練実施施設の概要'!D6</f>
        <v>0</v>
      </c>
      <c r="B28" s="2054"/>
      <c r="C28" s="2054"/>
      <c r="D28" s="2054"/>
      <c r="E28" s="2055"/>
      <c r="F28" s="2056"/>
      <c r="G28" s="2057"/>
      <c r="H28" s="2057"/>
      <c r="I28" s="2057"/>
      <c r="J28" s="2058"/>
    </row>
    <row r="29" spans="1:14" ht="18" customHeight="1">
      <c r="A29" s="2029" t="str">
        <f>"　〒"&amp;'３訓練実施施設の概要'!D7</f>
        <v>　〒</v>
      </c>
      <c r="B29" s="2030"/>
      <c r="C29" s="2030"/>
      <c r="D29" s="2030"/>
      <c r="E29" s="2031"/>
      <c r="F29" s="2059"/>
      <c r="G29" s="2060"/>
      <c r="H29" s="2060"/>
      <c r="I29" s="2060"/>
      <c r="J29" s="2061"/>
    </row>
    <row r="30" spans="1:14" ht="30" customHeight="1" thickBot="1">
      <c r="A30" s="2065" t="str">
        <f>"　"&amp;'３訓練実施施設の概要'!D8</f>
        <v>　</v>
      </c>
      <c r="B30" s="2066"/>
      <c r="C30" s="2066"/>
      <c r="D30" s="2066"/>
      <c r="E30" s="2067"/>
      <c r="F30" s="2062"/>
      <c r="G30" s="2063"/>
      <c r="H30" s="2063"/>
      <c r="I30" s="2063"/>
      <c r="J30" s="2064"/>
    </row>
    <row r="31" spans="1:14" ht="18" customHeight="1" thickTop="1" thickBot="1">
      <c r="A31" s="2029" t="str">
        <f>"　TEL："&amp;'３訓練実施施設の概要'!D9</f>
        <v>　TEL：</v>
      </c>
      <c r="B31" s="2030"/>
      <c r="C31" s="2030"/>
      <c r="D31" s="2030"/>
      <c r="E31" s="2031"/>
      <c r="F31" s="2032" t="s">
        <v>1109</v>
      </c>
      <c r="G31" s="2033"/>
      <c r="H31" s="2033"/>
      <c r="I31" s="2033"/>
      <c r="J31" s="2034"/>
    </row>
    <row r="32" spans="1:14" ht="17.100000000000001" customHeight="1" thickTop="1" thickBot="1">
      <c r="A32" s="2039" t="s">
        <v>1110</v>
      </c>
      <c r="B32" s="2040"/>
      <c r="C32" s="2041" t="s">
        <v>344</v>
      </c>
      <c r="D32" s="2042"/>
      <c r="E32" s="2043"/>
      <c r="F32" s="2035"/>
      <c r="G32" s="2033"/>
      <c r="H32" s="2033"/>
      <c r="I32" s="2033"/>
      <c r="J32" s="2034"/>
    </row>
    <row r="33" spans="1:10" ht="54.95" customHeight="1" thickTop="1" thickBot="1">
      <c r="A33" s="2044" t="s">
        <v>1112</v>
      </c>
      <c r="B33" s="2045"/>
      <c r="C33" s="2045"/>
      <c r="D33" s="2045"/>
      <c r="E33" s="2046"/>
      <c r="F33" s="2033"/>
      <c r="G33" s="2033"/>
      <c r="H33" s="2033"/>
      <c r="I33" s="2033"/>
      <c r="J33" s="2034"/>
    </row>
    <row r="34" spans="1:10" ht="17.100000000000001" customHeight="1" thickTop="1">
      <c r="A34" s="2068"/>
      <c r="B34" s="2069"/>
      <c r="C34" s="2069"/>
      <c r="D34" s="2069"/>
      <c r="E34" s="2070"/>
      <c r="F34" s="2033"/>
      <c r="G34" s="2033"/>
      <c r="H34" s="2033"/>
      <c r="I34" s="2033"/>
      <c r="J34" s="2034"/>
    </row>
    <row r="35" spans="1:10" ht="30" customHeight="1" thickBot="1">
      <c r="A35" s="2071"/>
      <c r="B35" s="2072"/>
      <c r="C35" s="2072"/>
      <c r="D35" s="2072"/>
      <c r="E35" s="2073"/>
      <c r="F35" s="2033"/>
      <c r="G35" s="2033"/>
      <c r="H35" s="2033"/>
      <c r="I35" s="2033"/>
      <c r="J35" s="2034"/>
    </row>
    <row r="36" spans="1:10" ht="18" customHeight="1" thickTop="1">
      <c r="A36" s="2047" t="s">
        <v>1111</v>
      </c>
      <c r="B36" s="2049" t="str">
        <f>"教科書代　約"&amp;ROUNDUP('４訓練の概要'!D21,-2)&amp;"円"</f>
        <v>教科書代　約0円</v>
      </c>
      <c r="C36" s="2049"/>
      <c r="D36" s="2049"/>
      <c r="E36" s="2050"/>
      <c r="F36" s="2035"/>
      <c r="G36" s="2033"/>
      <c r="H36" s="2033"/>
      <c r="I36" s="2033"/>
      <c r="J36" s="2034"/>
    </row>
    <row r="37" spans="1:10" ht="18" customHeight="1">
      <c r="A37" s="2047"/>
      <c r="B37" s="2051" t="str">
        <f>"その他　　 約"&amp;ROUNDUP('４訓練の概要'!D22,-2)&amp;"円"</f>
        <v>その他　　 約0円</v>
      </c>
      <c r="C37" s="2051"/>
      <c r="D37" s="2051"/>
      <c r="E37" s="2052"/>
      <c r="F37" s="2035"/>
      <c r="G37" s="2033"/>
      <c r="H37" s="2033"/>
      <c r="I37" s="2033"/>
      <c r="J37" s="2034"/>
    </row>
    <row r="38" spans="1:10" ht="18" customHeight="1">
      <c r="A38" s="2048"/>
      <c r="B38" s="2026">
        <f>'４訓練の概要'!D23</f>
        <v>0</v>
      </c>
      <c r="C38" s="2026"/>
      <c r="D38" s="2026"/>
      <c r="E38" s="2027"/>
      <c r="F38" s="2036"/>
      <c r="G38" s="2037"/>
      <c r="H38" s="2037"/>
      <c r="I38" s="2037"/>
      <c r="J38" s="2038"/>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31:E31"/>
    <mergeCell ref="F31:J38"/>
    <mergeCell ref="A32:B32"/>
    <mergeCell ref="C32:E32"/>
    <mergeCell ref="A33:E33"/>
    <mergeCell ref="A34:E35"/>
    <mergeCell ref="A36:A38"/>
    <mergeCell ref="B36:E36"/>
    <mergeCell ref="B37:E37"/>
    <mergeCell ref="B38:E38"/>
    <mergeCell ref="A27:E27"/>
    <mergeCell ref="F27:J27"/>
    <mergeCell ref="A28:E28"/>
    <mergeCell ref="F28:J30"/>
    <mergeCell ref="A29:E29"/>
    <mergeCell ref="A30:E30"/>
    <mergeCell ref="B25:J25"/>
    <mergeCell ref="B26:J26"/>
    <mergeCell ref="A8:J8"/>
    <mergeCell ref="A9:J9"/>
    <mergeCell ref="A11:J11"/>
    <mergeCell ref="A13:J13"/>
    <mergeCell ref="B16:J17"/>
    <mergeCell ref="B18:J19"/>
    <mergeCell ref="B22:J23"/>
    <mergeCell ref="B24:J24"/>
    <mergeCell ref="F15:G15"/>
    <mergeCell ref="A15:B15"/>
    <mergeCell ref="B20:J21"/>
    <mergeCell ref="A7:J7"/>
    <mergeCell ref="B2:E2"/>
    <mergeCell ref="B3:E3"/>
    <mergeCell ref="F3:I3"/>
    <mergeCell ref="A5:J5"/>
    <mergeCell ref="A6:J6"/>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87" t="str">
        <f>'１契約者及び訓練規模等'!A1:E1</f>
        <v>令和6年度東京都委託訓練受託申込書（提案書）</v>
      </c>
      <c r="B1" s="1587"/>
      <c r="C1" s="1587"/>
      <c r="D1" s="1587"/>
      <c r="E1" s="1587"/>
      <c r="F1" s="1587"/>
      <c r="G1" s="1587"/>
      <c r="H1" s="1587"/>
      <c r="I1" s="1587"/>
      <c r="J1" s="1587"/>
      <c r="K1" s="1587"/>
      <c r="L1" s="1587"/>
      <c r="M1" s="1587"/>
      <c r="N1" s="1587"/>
      <c r="O1" s="1587"/>
      <c r="P1" s="1587"/>
      <c r="Q1" s="1587"/>
      <c r="R1" s="1587"/>
      <c r="S1" s="1587"/>
      <c r="T1" s="1587"/>
      <c r="U1" s="1587"/>
      <c r="V1" s="1587"/>
      <c r="W1" s="1587"/>
      <c r="Y1" s="884" t="s">
        <v>746</v>
      </c>
    </row>
    <row r="2" spans="1:29" ht="13.15" customHeight="1" thickBot="1"/>
    <row r="3" spans="1:29" ht="13.15" customHeight="1">
      <c r="B3" s="1590" t="s">
        <v>631</v>
      </c>
      <c r="C3" s="1591"/>
      <c r="D3" s="1591" t="s">
        <v>560</v>
      </c>
      <c r="E3" s="1594"/>
      <c r="F3" s="1573" t="str">
        <f>Data!I26</f>
        <v/>
      </c>
      <c r="G3" s="1574"/>
      <c r="H3" s="1574"/>
      <c r="I3" s="1574"/>
      <c r="J3" s="1574"/>
      <c r="K3" s="1575"/>
      <c r="L3" s="651"/>
      <c r="P3" s="712"/>
      <c r="Q3" s="712"/>
      <c r="R3" s="712"/>
      <c r="S3" s="1588"/>
      <c r="T3" s="1588"/>
      <c r="U3" s="1588"/>
      <c r="V3" s="645"/>
    </row>
    <row r="4" spans="1:29" ht="13.15" customHeight="1" thickBot="1">
      <c r="B4" s="1592"/>
      <c r="C4" s="1593"/>
      <c r="D4" s="1593" t="s">
        <v>558</v>
      </c>
      <c r="E4" s="1595"/>
      <c r="F4" s="1576" t="str">
        <f>CONCATENATE(Data!I27," ",Data!I28)</f>
        <v xml:space="preserve"> </v>
      </c>
      <c r="G4" s="1577"/>
      <c r="H4" s="1577"/>
      <c r="I4" s="1577"/>
      <c r="J4" s="1577"/>
      <c r="K4" s="1578"/>
      <c r="L4" s="651"/>
      <c r="P4" s="712"/>
      <c r="Q4" s="712"/>
      <c r="S4" s="645"/>
      <c r="T4" s="645"/>
      <c r="U4" s="645"/>
      <c r="V4" s="645"/>
    </row>
    <row r="5" spans="1:29" ht="13.15" customHeight="1">
      <c r="B5" s="1590" t="s">
        <v>629</v>
      </c>
      <c r="C5" s="1591"/>
      <c r="D5" s="1588" t="s">
        <v>630</v>
      </c>
      <c r="E5" s="1596"/>
      <c r="F5" s="1579" t="str">
        <f>Data!I47</f>
        <v/>
      </c>
      <c r="G5" s="1580"/>
      <c r="H5" s="1580"/>
      <c r="I5" s="1580"/>
      <c r="J5" s="1580"/>
      <c r="K5" s="1581"/>
      <c r="L5" s="651"/>
      <c r="S5" s="651"/>
      <c r="T5" s="651"/>
      <c r="U5" s="651"/>
      <c r="V5" s="651"/>
    </row>
    <row r="6" spans="1:29" ht="13.15" customHeight="1">
      <c r="B6" s="1597"/>
      <c r="C6" s="1598"/>
      <c r="D6" s="1588" t="s">
        <v>19</v>
      </c>
      <c r="E6" s="1596"/>
      <c r="F6" s="1582" t="str">
        <f>Data!I48</f>
        <v/>
      </c>
      <c r="G6" s="1583"/>
      <c r="H6" s="1583"/>
      <c r="I6" s="1583"/>
      <c r="J6" s="1583"/>
      <c r="K6" s="1584"/>
      <c r="L6" s="651"/>
      <c r="S6" s="651"/>
      <c r="T6" s="651"/>
      <c r="U6" s="651"/>
      <c r="V6" s="651"/>
    </row>
    <row r="7" spans="1:29" ht="13.15" customHeight="1" thickBot="1">
      <c r="B7" s="1592"/>
      <c r="C7" s="1593"/>
      <c r="D7" s="1599" t="s">
        <v>117</v>
      </c>
      <c r="E7" s="1600"/>
      <c r="F7" s="1576" t="str">
        <f>Data!I50</f>
        <v/>
      </c>
      <c r="G7" s="1577"/>
      <c r="H7" s="1577"/>
      <c r="I7" s="1577"/>
      <c r="J7" s="1577"/>
      <c r="K7" s="1578"/>
      <c r="S7" s="651"/>
      <c r="T7" s="651"/>
      <c r="U7" s="651"/>
      <c r="V7" s="651"/>
    </row>
    <row r="8" spans="1:29" ht="13.15" customHeight="1" thickBot="1">
      <c r="C8" s="648" t="str">
        <f>IF('４訓練の概要'!D46="可",'４訓練の概要'!C46,"")</f>
        <v/>
      </c>
    </row>
    <row r="9" spans="1:29" ht="13.15" customHeight="1" thickBot="1">
      <c r="B9" s="1556" t="s">
        <v>30</v>
      </c>
      <c r="C9" s="1557"/>
      <c r="D9" s="1558"/>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554" t="str">
        <f>CONCATENATE(Data!I136,"人")</f>
        <v>人</v>
      </c>
      <c r="V9" s="1555"/>
      <c r="AB9" s="685" t="s">
        <v>345</v>
      </c>
      <c r="AC9" s="686" t="str">
        <f>IF(Data!$I159="可","○",IF(Data!$I159="対象外","-",""))</f>
        <v>-</v>
      </c>
    </row>
    <row r="10" spans="1:29" ht="13.15" customHeight="1" thickBot="1">
      <c r="B10" s="1559"/>
      <c r="C10" s="1560"/>
      <c r="D10" s="1561"/>
      <c r="E10" s="686" t="str">
        <f>IF(Data!$I159="可","○",IF(Data!$I159="対象外","-",""))</f>
        <v>-</v>
      </c>
      <c r="F10" s="649" t="str">
        <f>IF(Data!$I160="可","○",IF(Data!$I160="対象外","-",""))</f>
        <v>-</v>
      </c>
      <c r="G10" s="649" t="str">
        <f>IF(Data!$I161="可","○",IF(Data!$I161="対象外","-",""))</f>
        <v>-</v>
      </c>
      <c r="H10" s="649" t="str">
        <f>IF(Data!$I162="可","○",IF(Data!$I162="対象外","-",""))</f>
        <v/>
      </c>
      <c r="I10" s="649" t="str">
        <f>IF(Data!$I163="可","○",IF(Data!$I163="対象外","-",""))</f>
        <v/>
      </c>
      <c r="J10" s="649" t="str">
        <f>IF(Data!$I164="可","○",IF(Data!$I164="対象外","-",""))</f>
        <v/>
      </c>
      <c r="K10" s="649" t="str">
        <f>IF(Data!$I165="可","○",IF(Data!$I165="対象外","-",""))</f>
        <v>-</v>
      </c>
      <c r="L10" s="649" t="str">
        <f>IF(Data!$I166="可","○",IF(Data!$I166="対象外","-",""))</f>
        <v>-</v>
      </c>
      <c r="M10" s="649" t="str">
        <f>IF(Data!$I167="可","○",IF(Data!$I167="対象外","-",""))</f>
        <v>-</v>
      </c>
      <c r="N10" s="649" t="str">
        <f>IF(Data!$I168="可","○",IF(Data!$I168="対象外","-",""))</f>
        <v>-</v>
      </c>
      <c r="O10" s="649" t="str">
        <f>IF(Data!$I169="可","○",IF(Data!$I169="対象外","-",""))</f>
        <v>-</v>
      </c>
      <c r="P10" s="650" t="str">
        <f>IF(Data!$I170="可","○",IF(Data!$I170="対象外","-",""))</f>
        <v>-</v>
      </c>
      <c r="Q10" s="644"/>
      <c r="R10" s="1549" t="s">
        <v>633</v>
      </c>
      <c r="S10" s="1550"/>
      <c r="T10" s="1551"/>
      <c r="U10" s="1554" t="str">
        <f>CONCATENATE(Data!I137,"人")</f>
        <v>人</v>
      </c>
      <c r="V10" s="1555"/>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9" t="str">
        <f>Data!A11</f>
        <v>離職者等再就職訓練（６箇月）</v>
      </c>
      <c r="F12" s="1552"/>
      <c r="G12" s="1552"/>
      <c r="H12" s="1552"/>
      <c r="I12" s="1552"/>
      <c r="J12" s="1552"/>
      <c r="K12" s="1553"/>
      <c r="L12" s="644"/>
      <c r="M12" s="687" t="s">
        <v>652</v>
      </c>
      <c r="N12" s="1552" t="str">
        <f>CONCATENATE(Data!I126,Data!I127,Data!I128)</f>
        <v/>
      </c>
      <c r="O12" s="1552"/>
      <c r="P12" s="1552"/>
      <c r="Q12" s="1552"/>
      <c r="R12" s="1552"/>
      <c r="S12" s="1552"/>
      <c r="T12" s="1552"/>
      <c r="U12" s="1552"/>
      <c r="V12" s="1553"/>
      <c r="AB12" s="641" t="s">
        <v>346</v>
      </c>
      <c r="AC12" s="649" t="str">
        <f>IF(Data!$I162="可","○",IF(Data!$I162="対象外","-",""))</f>
        <v/>
      </c>
    </row>
    <row r="13" spans="1:29" ht="13.15" customHeight="1" thickBot="1">
      <c r="O13" s="648" t="s">
        <v>632</v>
      </c>
      <c r="AB13" s="641" t="s">
        <v>194</v>
      </c>
      <c r="AC13" s="649" t="str">
        <f>IF(Data!$I163="可","○",IF(Data!$I163="対象外","-",""))</f>
        <v/>
      </c>
    </row>
    <row r="14" spans="1:29" ht="13.15" customHeight="1" thickBot="1">
      <c r="B14" s="1549" t="s">
        <v>16</v>
      </c>
      <c r="C14" s="1550"/>
      <c r="D14" s="1551"/>
      <c r="E14" s="1552" t="str">
        <f>Data!I135</f>
        <v/>
      </c>
      <c r="F14" s="1552"/>
      <c r="G14" s="1552"/>
      <c r="H14" s="1552"/>
      <c r="I14" s="1552"/>
      <c r="J14" s="1552"/>
      <c r="K14" s="1552"/>
      <c r="L14" s="1552"/>
      <c r="M14" s="1552"/>
      <c r="N14" s="1552"/>
      <c r="O14" s="1552"/>
      <c r="P14" s="1553"/>
      <c r="Q14" s="644"/>
      <c r="R14" s="1549" t="s">
        <v>335</v>
      </c>
      <c r="S14" s="1550"/>
      <c r="T14" s="1550"/>
      <c r="U14" s="1550"/>
      <c r="V14" s="688" t="str">
        <f>Data!I130</f>
        <v/>
      </c>
      <c r="AB14" s="641" t="s">
        <v>347</v>
      </c>
      <c r="AC14" s="649" t="str">
        <f>IF(Data!$I164="可","○",IF(Data!$I164="対象外","-",""))</f>
        <v/>
      </c>
    </row>
    <row r="15" spans="1:29" ht="13.15" customHeight="1" thickBot="1">
      <c r="B15" s="1549" t="s">
        <v>26</v>
      </c>
      <c r="C15" s="1550"/>
      <c r="D15" s="1551"/>
      <c r="E15" s="1550" t="str">
        <f>Data!I69</f>
        <v/>
      </c>
      <c r="F15" s="1550"/>
      <c r="G15" s="1550"/>
      <c r="H15" s="1550"/>
      <c r="I15" s="1550"/>
      <c r="J15" s="1550"/>
      <c r="K15" s="1550"/>
      <c r="L15" s="1550"/>
      <c r="M15" s="1550"/>
      <c r="N15" s="1550"/>
      <c r="O15" s="1550"/>
      <c r="P15" s="1563"/>
      <c r="R15" s="654"/>
      <c r="S15" s="654"/>
      <c r="T15" s="654"/>
      <c r="U15" s="654"/>
      <c r="V15" s="654" t="s">
        <v>801</v>
      </c>
      <c r="AB15" s="641" t="s">
        <v>195</v>
      </c>
      <c r="AC15" s="649" t="str">
        <f>IF(Data!$I165="可","○",IF(Data!$I165="対象外","-",""))</f>
        <v>-</v>
      </c>
    </row>
    <row r="16" spans="1:29" ht="13.15" customHeight="1" thickBot="1">
      <c r="AB16" s="641" t="s">
        <v>268</v>
      </c>
      <c r="AC16" s="649" t="str">
        <f>IF(Data!$I166="可","○",IF(Data!$I166="対象外","-",""))</f>
        <v>-</v>
      </c>
    </row>
    <row r="17" spans="2:29" ht="13.15" customHeight="1" thickBot="1">
      <c r="B17" s="656" t="s">
        <v>650</v>
      </c>
      <c r="AB17" s="641" t="s">
        <v>348</v>
      </c>
      <c r="AC17" s="649" t="str">
        <f>IF(Data!$I167="可","○",IF(Data!$I167="対象外","-",""))</f>
        <v>-</v>
      </c>
    </row>
    <row r="18" spans="2:29" ht="13.15" customHeight="1" thickBot="1">
      <c r="B18" s="1549" t="s">
        <v>634</v>
      </c>
      <c r="C18" s="1550"/>
      <c r="D18" s="1551"/>
      <c r="E18" s="1564" t="str">
        <f>Data!I73</f>
        <v/>
      </c>
      <c r="F18" s="1564"/>
      <c r="G18" s="1585"/>
      <c r="H18" s="1549" t="s">
        <v>646</v>
      </c>
      <c r="I18" s="1550"/>
      <c r="J18" s="1550"/>
      <c r="K18" s="1586" t="str">
        <f>CONCATENATE(Data!I74,"km")</f>
        <v>km</v>
      </c>
      <c r="L18" s="1564"/>
      <c r="M18" s="1585"/>
      <c r="AB18" s="641" t="s">
        <v>341</v>
      </c>
      <c r="AC18" s="649" t="str">
        <f>IF(Data!$I168="可","○",IF(Data!$I168="対象外","-",""))</f>
        <v>-</v>
      </c>
    </row>
    <row r="19" spans="2:29" ht="13.15" customHeight="1" thickBot="1">
      <c r="B19" s="1549" t="s">
        <v>686</v>
      </c>
      <c r="C19" s="1550"/>
      <c r="D19" s="1551"/>
      <c r="E19" s="1564" t="str">
        <f>Data!I87</f>
        <v/>
      </c>
      <c r="F19" s="1564"/>
      <c r="G19" s="1564"/>
      <c r="H19" s="1564"/>
      <c r="I19" s="1564"/>
      <c r="J19" s="1562" t="s">
        <v>644</v>
      </c>
      <c r="K19" s="1550"/>
      <c r="L19" s="1551"/>
      <c r="M19" s="1586" t="str">
        <f>CONCATENATE(TEXT(Data!I88,"0.00"),"㎡")</f>
        <v>㎡</v>
      </c>
      <c r="N19" s="1564"/>
      <c r="O19" s="1564"/>
      <c r="P19" s="1562" t="s">
        <v>645</v>
      </c>
      <c r="Q19" s="1550"/>
      <c r="R19" s="1550"/>
      <c r="S19" s="1551"/>
      <c r="T19" s="1586" t="e">
        <f>CONCATENATE(TEXT(Data!I89,"0.00"),"㎡")</f>
        <v>#DIV/0!</v>
      </c>
      <c r="U19" s="1564"/>
      <c r="V19" s="1585"/>
      <c r="AB19" s="641" t="s">
        <v>342</v>
      </c>
      <c r="AC19" s="649" t="str">
        <f>IF(Data!$I169="可","○",IF(Data!$I169="対象外","-",""))</f>
        <v>-</v>
      </c>
    </row>
    <row r="20" spans="2:29" ht="13.15" customHeight="1" thickBot="1">
      <c r="B20" s="1549" t="s">
        <v>648</v>
      </c>
      <c r="C20" s="1550"/>
      <c r="D20" s="1550"/>
      <c r="E20" s="1550"/>
      <c r="F20" s="1551"/>
      <c r="G20" s="1564" t="str">
        <f>CONCATENATE(Data!I92,"台")</f>
        <v>台</v>
      </c>
      <c r="H20" s="1564"/>
      <c r="I20" s="1562" t="s">
        <v>696</v>
      </c>
      <c r="J20" s="1550"/>
      <c r="K20" s="1550" t="str">
        <f>Data!I94</f>
        <v/>
      </c>
      <c r="L20" s="1550"/>
      <c r="M20" s="1550"/>
      <c r="N20" s="1562" t="s">
        <v>697</v>
      </c>
      <c r="O20" s="1550"/>
      <c r="P20" s="1550" t="str">
        <f>Data!I96</f>
        <v/>
      </c>
      <c r="Q20" s="1550"/>
      <c r="R20" s="1563"/>
      <c r="AB20" s="646" t="s">
        <v>196</v>
      </c>
      <c r="AC20" s="650" t="str">
        <f>IF(Data!$I170="可","○",IF(Data!$I170="対象外","-",""))</f>
        <v>-</v>
      </c>
    </row>
    <row r="21" spans="2:29" ht="13.15" customHeight="1" thickBot="1">
      <c r="B21" s="1549" t="s">
        <v>649</v>
      </c>
      <c r="C21" s="1550"/>
      <c r="D21" s="1550"/>
      <c r="E21" s="1550"/>
      <c r="F21" s="1551"/>
      <c r="G21" s="1564" t="str">
        <f>CONCATENATE(Data!I115,"台")</f>
        <v>台</v>
      </c>
      <c r="H21" s="1564"/>
      <c r="I21" s="1562" t="s">
        <v>696</v>
      </c>
      <c r="J21" s="1550"/>
      <c r="K21" s="1550" t="str">
        <f>Data!I117</f>
        <v/>
      </c>
      <c r="L21" s="1550"/>
      <c r="M21" s="1550"/>
      <c r="N21" s="1562" t="s">
        <v>697</v>
      </c>
      <c r="O21" s="1550"/>
      <c r="P21" s="1550" t="str">
        <f>Data!I119</f>
        <v/>
      </c>
      <c r="Q21" s="1550"/>
      <c r="R21" s="1563"/>
    </row>
    <row r="22" spans="2:29" ht="13.15" customHeight="1">
      <c r="B22" s="654"/>
      <c r="C22" s="654"/>
      <c r="D22" s="654"/>
    </row>
    <row r="23" spans="2:29" ht="13.15" customHeight="1" thickBot="1">
      <c r="B23" s="656" t="s">
        <v>454</v>
      </c>
    </row>
    <row r="24" spans="2:29" ht="25.9" customHeight="1" thickBot="1">
      <c r="B24" s="1549" t="s">
        <v>111</v>
      </c>
      <c r="C24" s="1550"/>
      <c r="D24" s="1551"/>
      <c r="E24" s="1567" t="str">
        <f>Data!I199</f>
        <v/>
      </c>
      <c r="F24" s="1568"/>
      <c r="G24" s="1568"/>
      <c r="H24" s="1568"/>
      <c r="I24" s="1569"/>
      <c r="J24" s="1557" t="s">
        <v>653</v>
      </c>
      <c r="K24" s="1557"/>
      <c r="L24" s="1557"/>
      <c r="M24" s="1567" t="str">
        <f>Data!I200</f>
        <v/>
      </c>
      <c r="N24" s="1568"/>
      <c r="O24" s="1568"/>
      <c r="P24" s="1568"/>
      <c r="Q24" s="1604"/>
      <c r="R24" s="1565" t="s">
        <v>654</v>
      </c>
      <c r="S24" s="1566"/>
      <c r="T24" s="1566"/>
      <c r="U24" s="1562" t="str">
        <f>Data!I201</f>
        <v/>
      </c>
      <c r="V24" s="1563"/>
    </row>
    <row r="25" spans="2:29" ht="13.15" customHeight="1" thickBot="1">
      <c r="B25" s="1556" t="s">
        <v>638</v>
      </c>
      <c r="C25" s="1557"/>
      <c r="D25" s="1558"/>
      <c r="E25" s="1557">
        <f>Data!I205</f>
        <v>0</v>
      </c>
      <c r="F25" s="1557"/>
      <c r="G25" s="1606" t="s">
        <v>283</v>
      </c>
      <c r="H25" s="1607"/>
      <c r="I25" s="1607"/>
      <c r="J25" s="684">
        <f>Data!I208</f>
        <v>0</v>
      </c>
      <c r="K25" s="683" t="s">
        <v>701</v>
      </c>
      <c r="L25" s="1094">
        <f>Data!I209</f>
        <v>0</v>
      </c>
      <c r="M25" s="683" t="s">
        <v>702</v>
      </c>
      <c r="N25" s="1094">
        <f>Data!I210</f>
        <v>0</v>
      </c>
      <c r="O25" s="1605" t="s">
        <v>679</v>
      </c>
      <c r="P25" s="1605"/>
      <c r="Q25" s="1605"/>
      <c r="R25" s="1601" t="s">
        <v>703</v>
      </c>
      <c r="S25" s="1601"/>
      <c r="T25" s="1123"/>
      <c r="U25" s="1123" t="str">
        <f>Data!I211</f>
        <v/>
      </c>
      <c r="V25" s="1124"/>
    </row>
    <row r="26" spans="2:29" ht="13.15" customHeight="1" thickBot="1">
      <c r="B26" s="1559"/>
      <c r="C26" s="1560"/>
      <c r="D26" s="1561"/>
      <c r="E26" s="1560"/>
      <c r="F26" s="1570"/>
      <c r="G26" s="1559" t="s">
        <v>395</v>
      </c>
      <c r="H26" s="1560"/>
      <c r="I26" s="1560"/>
      <c r="J26" s="1098">
        <f>Data!I213</f>
        <v>0</v>
      </c>
      <c r="K26" s="682"/>
      <c r="L26" s="655"/>
      <c r="M26" s="655"/>
      <c r="N26" s="682"/>
      <c r="O26" s="1571" t="s">
        <v>679</v>
      </c>
      <c r="P26" s="1572"/>
      <c r="Q26" s="1572"/>
      <c r="R26" s="681" t="s">
        <v>800</v>
      </c>
      <c r="S26" s="681"/>
      <c r="T26" s="681"/>
      <c r="U26" s="681" t="str">
        <f>Data!I212</f>
        <v/>
      </c>
      <c r="V26" s="653"/>
    </row>
    <row r="27" spans="2:29" ht="13.15" customHeight="1" thickBot="1">
      <c r="B27" s="1549" t="s">
        <v>655</v>
      </c>
      <c r="C27" s="1550"/>
      <c r="D27" s="1551"/>
      <c r="E27" s="1560">
        <f>Data!I206</f>
        <v>0</v>
      </c>
      <c r="F27" s="1570"/>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608" t="str">
        <f>Data!I157</f>
        <v/>
      </c>
      <c r="F29" s="1608"/>
      <c r="G29" s="1608"/>
      <c r="H29" s="1608"/>
      <c r="I29" s="1608"/>
      <c r="J29" s="1608"/>
      <c r="K29" s="1608"/>
      <c r="L29" s="1608"/>
      <c r="M29" s="1608"/>
      <c r="N29" s="1608"/>
      <c r="O29" s="1608"/>
      <c r="P29" s="1608"/>
      <c r="Q29" s="1608"/>
      <c r="R29" s="1608"/>
      <c r="S29" s="1608"/>
      <c r="T29" s="1608"/>
      <c r="U29" s="1608"/>
      <c r="V29" s="1609"/>
    </row>
    <row r="30" spans="2:29" ht="13.15" customHeight="1" thickBot="1">
      <c r="B30" s="1549" t="s">
        <v>637</v>
      </c>
      <c r="C30" s="1550"/>
      <c r="D30" s="1551"/>
      <c r="E30" s="1608" t="str">
        <f>Data!I149</f>
        <v/>
      </c>
      <c r="F30" s="1608"/>
      <c r="G30" s="1608"/>
      <c r="H30" s="1608"/>
      <c r="I30" s="1608"/>
      <c r="J30" s="1608"/>
      <c r="K30" s="1608"/>
      <c r="L30" s="1608"/>
      <c r="M30" s="1608"/>
      <c r="N30" s="1608"/>
      <c r="O30" s="1608"/>
      <c r="P30" s="1608"/>
      <c r="Q30" s="1608"/>
      <c r="R30" s="1608"/>
      <c r="S30" s="1608"/>
      <c r="T30" s="1608"/>
      <c r="U30" s="1608"/>
      <c r="V30" s="1609"/>
    </row>
    <row r="31" spans="2:29" ht="25.9" customHeight="1" thickBot="1">
      <c r="B31" s="1565" t="s">
        <v>636</v>
      </c>
      <c r="C31" s="1566"/>
      <c r="D31" s="1603"/>
      <c r="E31" s="1610" t="str">
        <f>Data!I150</f>
        <v/>
      </c>
      <c r="F31" s="1608"/>
      <c r="G31" s="1608"/>
      <c r="H31" s="1608"/>
      <c r="I31" s="1608"/>
      <c r="J31" s="1608"/>
      <c r="K31" s="1608"/>
      <c r="L31" s="1608"/>
      <c r="M31" s="1608"/>
      <c r="N31" s="1608"/>
      <c r="O31" s="1608"/>
      <c r="P31" s="1608"/>
      <c r="Q31" s="1608"/>
      <c r="R31" s="1608"/>
      <c r="S31" s="1608"/>
      <c r="T31" s="1608"/>
      <c r="U31" s="1608"/>
      <c r="V31" s="1609"/>
    </row>
    <row r="32" spans="2:29" ht="43.5" customHeight="1" thickBot="1">
      <c r="B32" s="1565" t="s">
        <v>705</v>
      </c>
      <c r="C32" s="1566"/>
      <c r="D32" s="1603"/>
      <c r="E32" s="1610" t="str">
        <f>Data!I152</f>
        <v/>
      </c>
      <c r="F32" s="1608"/>
      <c r="G32" s="1608"/>
      <c r="H32" s="1608"/>
      <c r="I32" s="1608"/>
      <c r="J32" s="1608"/>
      <c r="K32" s="1608"/>
      <c r="L32" s="1608"/>
      <c r="M32" s="1608"/>
      <c r="N32" s="1608"/>
      <c r="O32" s="1565" t="s">
        <v>706</v>
      </c>
      <c r="P32" s="1603"/>
      <c r="Q32" s="1608" t="str">
        <f>Data!I156</f>
        <v/>
      </c>
      <c r="R32" s="1608"/>
      <c r="S32" s="1608"/>
      <c r="T32" s="1608"/>
      <c r="U32" s="1608"/>
      <c r="V32" s="1609"/>
    </row>
    <row r="33" spans="2:22" ht="13.15" customHeight="1" thickBot="1">
      <c r="B33" s="1611" t="s">
        <v>514</v>
      </c>
      <c r="C33" s="1552"/>
      <c r="D33" s="1612"/>
      <c r="E33" s="1608" t="str">
        <f>Data!I158</f>
        <v/>
      </c>
      <c r="F33" s="1608"/>
      <c r="G33" s="1608"/>
      <c r="H33" s="1608"/>
      <c r="I33" s="1608"/>
      <c r="J33" s="1608"/>
      <c r="K33" s="1608"/>
      <c r="L33" s="1608"/>
      <c r="M33" s="1608"/>
      <c r="N33" s="1608"/>
      <c r="O33" s="1608"/>
      <c r="P33" s="1608"/>
      <c r="Q33" s="1608"/>
      <c r="R33" s="1608"/>
      <c r="S33" s="1608"/>
      <c r="T33" s="1608"/>
      <c r="U33" s="1608"/>
      <c r="V33" s="1609"/>
    </row>
    <row r="34" spans="2:22" ht="13.15" customHeight="1"/>
    <row r="35" spans="2:22" ht="13.15" customHeight="1" thickBot="1">
      <c r="B35" s="656" t="s">
        <v>692</v>
      </c>
    </row>
    <row r="36" spans="2:22" ht="13.15" customHeight="1" thickBot="1">
      <c r="B36" s="1549" t="s">
        <v>639</v>
      </c>
      <c r="C36" s="1550"/>
      <c r="D36" s="1551"/>
      <c r="E36" s="1562" t="s">
        <v>694</v>
      </c>
      <c r="F36" s="1550"/>
      <c r="G36" s="1564" t="str">
        <f>Data!I217</f>
        <v/>
      </c>
      <c r="H36" s="1602"/>
      <c r="I36" s="1562" t="s">
        <v>695</v>
      </c>
      <c r="J36" s="1550"/>
      <c r="K36" s="1564" t="str">
        <f>Data!I218</f>
        <v/>
      </c>
      <c r="L36" s="1585"/>
    </row>
    <row r="37" spans="2:22" ht="54.95" customHeight="1" thickBot="1">
      <c r="B37" s="1549" t="s">
        <v>640</v>
      </c>
      <c r="C37" s="1550"/>
      <c r="D37" s="1551"/>
      <c r="E37" s="1613" t="str">
        <f>Data!I229:I229</f>
        <v/>
      </c>
      <c r="F37" s="1613"/>
      <c r="G37" s="1613"/>
      <c r="H37" s="1613"/>
      <c r="I37" s="1613"/>
      <c r="J37" s="1613"/>
      <c r="K37" s="1613"/>
      <c r="L37" s="1613"/>
      <c r="M37" s="1613"/>
      <c r="N37" s="1613"/>
      <c r="O37" s="1613"/>
      <c r="P37" s="1613"/>
      <c r="Q37" s="1613"/>
      <c r="R37" s="1613"/>
      <c r="S37" s="1613"/>
      <c r="T37" s="1613"/>
      <c r="U37" s="1613"/>
      <c r="V37" s="1614"/>
    </row>
    <row r="38" spans="2:22" ht="54.95" customHeight="1" thickBot="1">
      <c r="B38" s="1549" t="s">
        <v>641</v>
      </c>
      <c r="C38" s="1550"/>
      <c r="D38" s="1551"/>
      <c r="E38" s="1613" t="str">
        <f>Data!I232</f>
        <v/>
      </c>
      <c r="F38" s="1613"/>
      <c r="G38" s="1613"/>
      <c r="H38" s="1613"/>
      <c r="I38" s="1613"/>
      <c r="J38" s="1613"/>
      <c r="K38" s="1613"/>
      <c r="L38" s="1613"/>
      <c r="M38" s="1613"/>
      <c r="N38" s="1613"/>
      <c r="O38" s="1613"/>
      <c r="P38" s="1613"/>
      <c r="Q38" s="1613"/>
      <c r="R38" s="1613"/>
      <c r="S38" s="1613"/>
      <c r="T38" s="1613"/>
      <c r="U38" s="1613"/>
      <c r="V38" s="1614"/>
    </row>
    <row r="39" spans="2:22" ht="62.25" customHeight="1" thickBot="1">
      <c r="B39" s="1565" t="s">
        <v>642</v>
      </c>
      <c r="C39" s="1566"/>
      <c r="D39" s="1603"/>
      <c r="E39" s="1613" t="str">
        <f>Data!I233</f>
        <v/>
      </c>
      <c r="F39" s="1613"/>
      <c r="G39" s="1613"/>
      <c r="H39" s="1613"/>
      <c r="I39" s="1613"/>
      <c r="J39" s="1613"/>
      <c r="K39" s="1613"/>
      <c r="L39" s="1613"/>
      <c r="M39" s="1613"/>
      <c r="N39" s="1613"/>
      <c r="O39" s="1613"/>
      <c r="P39" s="1613"/>
      <c r="Q39" s="1613"/>
      <c r="R39" s="1613"/>
      <c r="S39" s="1613"/>
      <c r="T39" s="1613"/>
      <c r="U39" s="1613"/>
      <c r="V39" s="1614"/>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63"/>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 ref="N21:O21"/>
    <mergeCell ref="T19:V19"/>
    <mergeCell ref="M19:O19"/>
    <mergeCell ref="E19:I19"/>
    <mergeCell ref="G20:H20"/>
    <mergeCell ref="K20:M20"/>
    <mergeCell ref="P19:S19"/>
    <mergeCell ref="I20:J20"/>
    <mergeCell ref="N20:O20"/>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B19:D19"/>
    <mergeCell ref="E18:G18"/>
    <mergeCell ref="H18:J18"/>
    <mergeCell ref="K18:M18"/>
    <mergeCell ref="J19:L19"/>
    <mergeCell ref="F3:K3"/>
    <mergeCell ref="F4:K4"/>
    <mergeCell ref="F5:K5"/>
    <mergeCell ref="F6:K6"/>
    <mergeCell ref="F7:K7"/>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R9:T9"/>
    <mergeCell ref="R10:T10"/>
    <mergeCell ref="R14:U14"/>
    <mergeCell ref="N12:V12"/>
    <mergeCell ref="U9:V9"/>
    <mergeCell ref="U10:V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33" sqref="D33"/>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15" t="str">
        <f>CONCATENATE(TEXT(DATE($D$2,4,1),"ggge"),"年度東京都委託訓練受託申込書（提案書）")</f>
        <v>令和6年度東京都委託訓練受託申込書（提案書）</v>
      </c>
      <c r="B1" s="1615"/>
      <c r="C1" s="1615"/>
      <c r="D1" s="1615"/>
      <c r="E1" s="1615"/>
    </row>
    <row r="2" spans="1:16" ht="12.75" customHeight="1" thickBot="1">
      <c r="A2" s="261"/>
      <c r="B2" s="1642" t="s">
        <v>687</v>
      </c>
      <c r="C2" s="1643"/>
      <c r="D2" s="1447">
        <v>2024</v>
      </c>
      <c r="E2" s="690"/>
    </row>
    <row r="3" spans="1:16" ht="24" customHeight="1" thickBot="1">
      <c r="A3" s="262" t="s">
        <v>116</v>
      </c>
      <c r="D3" s="689"/>
    </row>
    <row r="4" spans="1:16" ht="10.5" customHeight="1" thickBot="1">
      <c r="H4" s="1530" t="s">
        <v>419</v>
      </c>
      <c r="I4" s="1531"/>
      <c r="J4" s="1531"/>
      <c r="K4" s="1531"/>
      <c r="L4" s="1531"/>
      <c r="M4" s="1531"/>
      <c r="N4" s="1531"/>
      <c r="O4" s="1531"/>
      <c r="P4" s="1532"/>
    </row>
    <row r="5" spans="1:16" ht="40.15" customHeight="1" thickTop="1" thickBot="1">
      <c r="B5" s="1631" t="s">
        <v>50</v>
      </c>
      <c r="C5" s="1632"/>
      <c r="D5" s="1449"/>
      <c r="E5" s="358"/>
      <c r="F5" s="90"/>
      <c r="H5" s="432" t="s">
        <v>423</v>
      </c>
      <c r="I5" s="433"/>
      <c r="J5" s="433"/>
      <c r="K5" s="433"/>
      <c r="L5" s="433"/>
      <c r="M5" s="433"/>
      <c r="N5" s="433"/>
      <c r="O5" s="433"/>
      <c r="P5" s="434"/>
    </row>
    <row r="6" spans="1:16" ht="40.15" customHeight="1" thickTop="1" thickBot="1">
      <c r="B6" s="1633" t="s">
        <v>438</v>
      </c>
      <c r="C6" s="1634"/>
      <c r="D6" s="1449"/>
      <c r="E6" s="359"/>
      <c r="H6" s="435" t="s">
        <v>423</v>
      </c>
      <c r="I6" s="436"/>
      <c r="J6" s="436"/>
      <c r="K6" s="436"/>
      <c r="L6" s="436"/>
      <c r="M6" s="436"/>
      <c r="N6" s="436"/>
      <c r="O6" s="436"/>
      <c r="P6" s="437"/>
    </row>
    <row r="7" spans="1:16" ht="40.15" customHeight="1" thickTop="1" thickBot="1">
      <c r="B7" s="1633" t="s">
        <v>439</v>
      </c>
      <c r="C7" s="1634"/>
      <c r="D7" s="1449"/>
      <c r="E7" s="359"/>
      <c r="H7" s="435" t="s">
        <v>423</v>
      </c>
      <c r="I7" s="436"/>
      <c r="J7" s="436"/>
      <c r="K7" s="436"/>
      <c r="L7" s="436"/>
      <c r="M7" s="436"/>
      <c r="N7" s="436"/>
      <c r="O7" s="436"/>
      <c r="P7" s="437"/>
    </row>
    <row r="8" spans="1:16" ht="30" customHeight="1" thickTop="1">
      <c r="B8" s="1616" t="s">
        <v>12</v>
      </c>
      <c r="C8" s="498" t="s">
        <v>352</v>
      </c>
      <c r="D8" s="1450"/>
      <c r="E8" s="438"/>
      <c r="H8" s="435"/>
      <c r="I8" s="436"/>
      <c r="J8" s="436"/>
      <c r="K8" s="436"/>
      <c r="L8" s="436"/>
      <c r="M8" s="436"/>
      <c r="N8" s="436"/>
      <c r="O8" s="436"/>
      <c r="P8" s="437"/>
    </row>
    <row r="9" spans="1:16" ht="60" customHeight="1" thickBot="1">
      <c r="B9" s="1616"/>
      <c r="C9" s="499" t="s">
        <v>353</v>
      </c>
      <c r="D9" s="357"/>
      <c r="E9" s="359"/>
      <c r="H9" s="435" t="s">
        <v>423</v>
      </c>
      <c r="I9" s="436"/>
      <c r="J9" s="436"/>
      <c r="K9" s="436"/>
      <c r="L9" s="436"/>
      <c r="M9" s="436"/>
      <c r="N9" s="436"/>
      <c r="O9" s="436"/>
      <c r="P9" s="437"/>
    </row>
    <row r="10" spans="1:16" ht="40.15" customHeight="1" thickTop="1" thickBot="1">
      <c r="B10" s="1616" t="s">
        <v>19</v>
      </c>
      <c r="C10" s="1635"/>
      <c r="D10" s="1449"/>
      <c r="E10" s="373"/>
      <c r="H10" s="435"/>
      <c r="I10" s="436"/>
      <c r="J10" s="436"/>
      <c r="K10" s="436"/>
      <c r="L10" s="436"/>
      <c r="M10" s="436"/>
      <c r="N10" s="436"/>
      <c r="O10" s="436"/>
      <c r="P10" s="437"/>
    </row>
    <row r="11" spans="1:16" ht="40.15" customHeight="1" thickTop="1" thickBot="1">
      <c r="B11" s="1616" t="s">
        <v>11</v>
      </c>
      <c r="C11" s="1635"/>
      <c r="D11" s="1449"/>
      <c r="E11" s="359"/>
      <c r="H11" s="435" t="s">
        <v>427</v>
      </c>
      <c r="I11" s="436"/>
      <c r="J11" s="436"/>
      <c r="K11" s="436"/>
      <c r="L11" s="436"/>
      <c r="M11" s="436"/>
      <c r="N11" s="436"/>
      <c r="O11" s="436"/>
      <c r="P11" s="437"/>
    </row>
    <row r="12" spans="1:16" ht="40.15" customHeight="1" thickTop="1" thickBot="1">
      <c r="B12" s="1616" t="s">
        <v>426</v>
      </c>
      <c r="C12" s="1635"/>
      <c r="D12" s="1449"/>
      <c r="E12" s="359"/>
      <c r="H12" s="435"/>
      <c r="I12" s="436"/>
      <c r="J12" s="436"/>
      <c r="K12" s="436"/>
      <c r="L12" s="436"/>
      <c r="M12" s="436"/>
      <c r="N12" s="436"/>
      <c r="O12" s="436"/>
      <c r="P12" s="437"/>
    </row>
    <row r="13" spans="1:16" ht="40.15" customHeight="1" thickTop="1" thickBot="1">
      <c r="B13" s="1644" t="s">
        <v>270</v>
      </c>
      <c r="C13" s="1645"/>
      <c r="D13" s="1449"/>
      <c r="E13" s="439"/>
      <c r="H13" s="435" t="s">
        <v>424</v>
      </c>
      <c r="I13" s="436"/>
      <c r="J13" s="436"/>
      <c r="K13" s="436"/>
      <c r="L13" s="436"/>
      <c r="M13" s="436"/>
      <c r="N13" s="436"/>
      <c r="O13" s="436"/>
      <c r="P13" s="437"/>
    </row>
    <row r="14" spans="1:16" ht="40.15" customHeight="1" thickTop="1" thickBot="1">
      <c r="B14" s="1646" t="s">
        <v>428</v>
      </c>
      <c r="C14" s="1647"/>
      <c r="D14" s="679"/>
      <c r="E14" s="372" t="s">
        <v>437</v>
      </c>
      <c r="H14" s="435" t="s">
        <v>440</v>
      </c>
      <c r="I14" s="436"/>
      <c r="J14" s="436"/>
      <c r="K14" s="436"/>
      <c r="L14" s="436"/>
      <c r="M14" s="436"/>
      <c r="N14" s="436"/>
      <c r="O14" s="436"/>
      <c r="P14" s="437"/>
    </row>
    <row r="15" spans="1:16" ht="40.15" customHeight="1" thickTop="1">
      <c r="B15" s="1633" t="s">
        <v>430</v>
      </c>
      <c r="C15" s="1634"/>
      <c r="D15" s="1451"/>
      <c r="E15" s="482" t="s">
        <v>480</v>
      </c>
      <c r="H15" s="435" t="s">
        <v>429</v>
      </c>
      <c r="I15" s="436"/>
      <c r="J15" s="436"/>
      <c r="K15" s="436"/>
      <c r="L15" s="436"/>
      <c r="M15" s="436"/>
      <c r="N15" s="436"/>
      <c r="O15" s="436"/>
      <c r="P15" s="437"/>
    </row>
    <row r="16" spans="1:16" ht="40.15" customHeight="1">
      <c r="B16" s="1633" t="s">
        <v>431</v>
      </c>
      <c r="C16" s="1634"/>
      <c r="D16" s="369"/>
      <c r="E16" s="482" t="s">
        <v>480</v>
      </c>
      <c r="H16" s="435"/>
      <c r="I16" s="436"/>
      <c r="J16" s="436"/>
      <c r="K16" s="436"/>
      <c r="L16" s="436"/>
      <c r="M16" s="436"/>
      <c r="N16" s="436"/>
      <c r="O16" s="436"/>
      <c r="P16" s="437"/>
    </row>
    <row r="17" spans="2:16" ht="40.15" customHeight="1">
      <c r="B17" s="1633" t="s">
        <v>432</v>
      </c>
      <c r="C17" s="1634"/>
      <c r="D17" s="369"/>
      <c r="E17" s="482" t="s">
        <v>480</v>
      </c>
      <c r="H17" s="435"/>
      <c r="I17" s="436"/>
      <c r="J17" s="436"/>
      <c r="K17" s="436"/>
      <c r="L17" s="436"/>
      <c r="M17" s="436"/>
      <c r="N17" s="436"/>
      <c r="O17" s="436"/>
      <c r="P17" s="437"/>
    </row>
    <row r="18" spans="2:16" ht="30" customHeight="1">
      <c r="B18" s="1623" t="s">
        <v>435</v>
      </c>
      <c r="C18" s="499" t="s">
        <v>433</v>
      </c>
      <c r="D18" s="369"/>
      <c r="E18" s="482" t="s">
        <v>480</v>
      </c>
      <c r="H18" s="435"/>
      <c r="I18" s="436"/>
      <c r="J18" s="436"/>
      <c r="K18" s="436"/>
      <c r="L18" s="436"/>
      <c r="M18" s="436"/>
      <c r="N18" s="436"/>
      <c r="O18" s="436"/>
      <c r="P18" s="437"/>
    </row>
    <row r="19" spans="2:16" ht="60" customHeight="1">
      <c r="B19" s="1624"/>
      <c r="C19" s="499" t="s">
        <v>434</v>
      </c>
      <c r="D19" s="369"/>
      <c r="E19" s="482" t="s">
        <v>480</v>
      </c>
      <c r="H19" s="435"/>
      <c r="I19" s="436"/>
      <c r="J19" s="436"/>
      <c r="K19" s="436"/>
      <c r="L19" s="436"/>
      <c r="M19" s="436"/>
      <c r="N19" s="436"/>
      <c r="O19" s="436"/>
      <c r="P19" s="437"/>
    </row>
    <row r="20" spans="2:16" ht="28.5" customHeight="1" thickBot="1">
      <c r="B20" s="1644" t="s">
        <v>436</v>
      </c>
      <c r="C20" s="1645"/>
      <c r="D20" s="370"/>
      <c r="E20" s="481" t="s">
        <v>480</v>
      </c>
      <c r="H20" s="435"/>
      <c r="I20" s="436"/>
      <c r="J20" s="436"/>
      <c r="K20" s="436"/>
      <c r="L20" s="436"/>
      <c r="M20" s="436"/>
      <c r="N20" s="436"/>
      <c r="O20" s="436"/>
      <c r="P20" s="437"/>
    </row>
    <row r="21" spans="2:16" ht="40.15" customHeight="1" thickTop="1">
      <c r="B21" s="1639" t="s">
        <v>521</v>
      </c>
      <c r="C21" s="500" t="s">
        <v>522</v>
      </c>
      <c r="D21" s="1452"/>
      <c r="E21" s="441"/>
      <c r="F21" s="4"/>
      <c r="G21" s="4"/>
      <c r="H21" s="20"/>
      <c r="I21" s="265"/>
      <c r="J21" s="436"/>
      <c r="K21" s="436"/>
      <c r="L21" s="436"/>
      <c r="M21" s="436"/>
      <c r="N21" s="436"/>
      <c r="O21" s="436"/>
      <c r="P21" s="437"/>
    </row>
    <row r="22" spans="2:16" ht="40.15" customHeight="1" thickBot="1">
      <c r="B22" s="1640"/>
      <c r="C22" s="717" t="s">
        <v>523</v>
      </c>
      <c r="D22" s="1453"/>
      <c r="E22" s="718"/>
      <c r="F22" s="4"/>
      <c r="G22" s="4"/>
      <c r="H22" s="20"/>
      <c r="I22" s="265"/>
      <c r="J22" s="436"/>
      <c r="K22" s="436"/>
      <c r="L22" s="436"/>
      <c r="M22" s="436"/>
      <c r="N22" s="436"/>
      <c r="O22" s="436"/>
      <c r="P22" s="437"/>
    </row>
    <row r="23" spans="2:16" ht="40.15" customHeight="1" thickTop="1">
      <c r="B23" s="1639" t="s">
        <v>759</v>
      </c>
      <c r="C23" s="500" t="s">
        <v>523</v>
      </c>
      <c r="D23" s="1452"/>
      <c r="E23" s="441"/>
      <c r="F23" s="4"/>
      <c r="G23" s="4"/>
      <c r="H23" s="20"/>
      <c r="I23" s="265"/>
      <c r="J23" s="436"/>
      <c r="K23" s="436"/>
      <c r="L23" s="436"/>
      <c r="M23" s="436"/>
      <c r="N23" s="436"/>
      <c r="O23" s="436"/>
      <c r="P23" s="437"/>
    </row>
    <row r="24" spans="2:16" ht="40.15" customHeight="1">
      <c r="B24" s="1641"/>
      <c r="C24" s="717" t="s">
        <v>1046</v>
      </c>
      <c r="D24" s="1453"/>
      <c r="E24" s="718" t="s">
        <v>380</v>
      </c>
      <c r="F24" s="4"/>
      <c r="G24" s="4"/>
      <c r="H24" s="1616" t="s">
        <v>1047</v>
      </c>
      <c r="I24" s="1621"/>
      <c r="J24" s="1621"/>
      <c r="K24" s="1621"/>
      <c r="L24" s="1621"/>
      <c r="M24" s="1621"/>
      <c r="N24" s="1621"/>
      <c r="O24" s="1621"/>
      <c r="P24" s="1622"/>
    </row>
    <row r="25" spans="2:16" ht="40.15" customHeight="1" thickBot="1">
      <c r="B25" s="1640"/>
      <c r="C25" s="717" t="s">
        <v>1048</v>
      </c>
      <c r="D25" s="1453"/>
      <c r="E25" s="718" t="s">
        <v>380</v>
      </c>
      <c r="F25" s="4"/>
      <c r="G25" s="4"/>
      <c r="H25" s="20"/>
      <c r="I25" s="265"/>
      <c r="J25" s="436"/>
      <c r="K25" s="436"/>
      <c r="L25" s="436"/>
      <c r="M25" s="436"/>
      <c r="N25" s="436"/>
      <c r="O25" s="436"/>
      <c r="P25" s="437"/>
    </row>
    <row r="26" spans="2:16" ht="40.15" customHeight="1" thickTop="1">
      <c r="B26" s="1617" t="s">
        <v>520</v>
      </c>
      <c r="C26" s="717" t="s">
        <v>113</v>
      </c>
      <c r="D26" s="1452"/>
      <c r="E26" s="718"/>
      <c r="F26" s="4"/>
      <c r="G26" s="4"/>
      <c r="H26" s="1616" t="s">
        <v>575</v>
      </c>
      <c r="I26" s="1621"/>
      <c r="J26" s="1621"/>
      <c r="K26" s="1621"/>
      <c r="L26" s="1621"/>
      <c r="M26" s="1621"/>
      <c r="N26" s="1621"/>
      <c r="O26" s="1621"/>
      <c r="P26" s="1622"/>
    </row>
    <row r="27" spans="2:16" ht="40.15" customHeight="1">
      <c r="B27" s="1618"/>
      <c r="C27" s="501" t="s">
        <v>19</v>
      </c>
      <c r="D27" s="1454"/>
      <c r="E27" s="442"/>
      <c r="H27" s="435"/>
      <c r="I27" s="436"/>
      <c r="J27" s="436"/>
      <c r="K27" s="436"/>
      <c r="L27" s="436"/>
      <c r="M27" s="436"/>
      <c r="N27" s="436"/>
      <c r="O27" s="436"/>
      <c r="P27" s="437"/>
    </row>
    <row r="28" spans="2:16" ht="40.15" customHeight="1">
      <c r="B28" s="1618"/>
      <c r="C28" s="501" t="s">
        <v>20</v>
      </c>
      <c r="D28" s="1454"/>
      <c r="E28" s="442"/>
      <c r="H28" s="435"/>
      <c r="I28" s="436"/>
      <c r="J28" s="436"/>
      <c r="K28" s="436"/>
      <c r="L28" s="436"/>
      <c r="M28" s="436"/>
      <c r="N28" s="436"/>
      <c r="O28" s="436"/>
      <c r="P28" s="437"/>
    </row>
    <row r="29" spans="2:16" ht="40.15" customHeight="1" thickBot="1">
      <c r="B29" s="1618"/>
      <c r="C29" s="502" t="s">
        <v>117</v>
      </c>
      <c r="D29" s="357"/>
      <c r="E29" s="443"/>
      <c r="H29" s="1616" t="s">
        <v>1017</v>
      </c>
      <c r="I29" s="1619"/>
      <c r="J29" s="1619"/>
      <c r="K29" s="1619"/>
      <c r="L29" s="1619"/>
      <c r="M29" s="1619"/>
      <c r="N29" s="1619"/>
      <c r="O29" s="1619"/>
      <c r="P29" s="1620"/>
    </row>
    <row r="30" spans="2:16" ht="40.15" customHeight="1" thickTop="1">
      <c r="B30" s="1627" t="s">
        <v>200</v>
      </c>
      <c r="C30" s="503" t="s">
        <v>187</v>
      </c>
      <c r="D30" s="368"/>
      <c r="E30" s="440"/>
      <c r="F30" s="4"/>
      <c r="G30" s="4"/>
      <c r="H30" s="1616" t="s">
        <v>576</v>
      </c>
      <c r="I30" s="1619"/>
      <c r="J30" s="1619"/>
      <c r="K30" s="1619"/>
      <c r="L30" s="1619"/>
      <c r="M30" s="1619"/>
      <c r="N30" s="1619"/>
      <c r="O30" s="1619"/>
      <c r="P30" s="1620"/>
    </row>
    <row r="31" spans="2:16" ht="40.15" customHeight="1">
      <c r="B31" s="1627"/>
      <c r="C31" s="504" t="s">
        <v>188</v>
      </c>
      <c r="D31" s="369"/>
      <c r="E31" s="440"/>
      <c r="H31" s="435"/>
      <c r="I31" s="436"/>
      <c r="J31" s="436"/>
      <c r="K31" s="436"/>
      <c r="L31" s="436"/>
      <c r="M31" s="436"/>
      <c r="N31" s="436"/>
      <c r="O31" s="436"/>
      <c r="P31" s="437"/>
    </row>
    <row r="32" spans="2:16" ht="40.15" customHeight="1" thickBot="1">
      <c r="B32" s="1627"/>
      <c r="C32" s="505" t="s">
        <v>189</v>
      </c>
      <c r="D32" s="370"/>
      <c r="E32" s="440"/>
      <c r="H32" s="435"/>
      <c r="I32" s="436"/>
      <c r="J32" s="436"/>
      <c r="K32" s="436"/>
      <c r="L32" s="436"/>
      <c r="M32" s="436"/>
      <c r="N32" s="436"/>
      <c r="O32" s="436"/>
      <c r="P32" s="437"/>
    </row>
    <row r="33" spans="2:16" ht="40.15" customHeight="1" thickTop="1">
      <c r="B33" s="1616"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16"/>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16"/>
      <c r="C35" s="499" t="s">
        <v>203</v>
      </c>
      <c r="D35" s="1449"/>
      <c r="E35" s="359"/>
      <c r="H35" s="1616" t="s">
        <v>473</v>
      </c>
      <c r="I35" s="1619"/>
      <c r="J35" s="1619"/>
      <c r="K35" s="1619"/>
      <c r="L35" s="1619"/>
      <c r="M35" s="1619"/>
      <c r="N35" s="1619"/>
      <c r="O35" s="1619"/>
      <c r="P35" s="1620"/>
    </row>
    <row r="36" spans="2:16" ht="40.15" customHeight="1" thickTop="1">
      <c r="B36" s="1616" t="s">
        <v>201</v>
      </c>
      <c r="C36" s="506" t="s">
        <v>1095</v>
      </c>
      <c r="D36" s="1455"/>
      <c r="E36" s="264" t="s">
        <v>380</v>
      </c>
      <c r="H36" s="435" t="s">
        <v>1016</v>
      </c>
      <c r="I36" s="436"/>
      <c r="J36" s="436"/>
      <c r="K36" s="436"/>
      <c r="L36" s="436"/>
      <c r="M36" s="436"/>
      <c r="N36" s="436"/>
      <c r="O36" s="436"/>
      <c r="P36" s="437"/>
    </row>
    <row r="37" spans="2:16" ht="39.6" customHeight="1">
      <c r="B37" s="1616"/>
      <c r="C37" s="506" t="s">
        <v>1094</v>
      </c>
      <c r="D37" s="1456"/>
      <c r="E37" s="264"/>
      <c r="H37" s="1616" t="s">
        <v>1019</v>
      </c>
      <c r="I37" s="1619"/>
      <c r="J37" s="1619"/>
      <c r="K37" s="1619"/>
      <c r="L37" s="1619"/>
      <c r="M37" s="1619"/>
      <c r="N37" s="1619"/>
      <c r="O37" s="1619"/>
      <c r="P37" s="1620"/>
    </row>
    <row r="38" spans="2:16" ht="40.35" customHeight="1">
      <c r="B38" s="1616"/>
      <c r="C38" s="506" t="s">
        <v>1096</v>
      </c>
      <c r="D38" s="1457"/>
      <c r="E38" s="264" t="s">
        <v>380</v>
      </c>
      <c r="H38" s="1616" t="s">
        <v>1018</v>
      </c>
      <c r="I38" s="1619"/>
      <c r="J38" s="1619"/>
      <c r="K38" s="1619"/>
      <c r="L38" s="1619"/>
      <c r="M38" s="1619"/>
      <c r="N38" s="1619"/>
      <c r="O38" s="1619"/>
      <c r="P38" s="1620"/>
    </row>
    <row r="39" spans="2:16" ht="40.15" customHeight="1" thickBot="1">
      <c r="B39" s="1616"/>
      <c r="C39" s="506" t="s">
        <v>202</v>
      </c>
      <c r="D39" s="1458"/>
      <c r="E39" s="264"/>
      <c r="H39" s="1616" t="s">
        <v>474</v>
      </c>
      <c r="I39" s="1621"/>
      <c r="J39" s="1621"/>
      <c r="K39" s="1621"/>
      <c r="L39" s="1621"/>
      <c r="M39" s="1621"/>
      <c r="N39" s="1621"/>
      <c r="O39" s="1621"/>
      <c r="P39" s="1622"/>
    </row>
    <row r="40" spans="2:16" ht="42" customHeight="1" thickTop="1">
      <c r="B40" s="1625" t="s">
        <v>322</v>
      </c>
      <c r="C40" s="508" t="s">
        <v>354</v>
      </c>
      <c r="D40" s="1459"/>
      <c r="E40" s="360" t="s">
        <v>380</v>
      </c>
      <c r="H40" s="1616" t="s">
        <v>425</v>
      </c>
      <c r="I40" s="1619"/>
      <c r="J40" s="1619"/>
      <c r="K40" s="1619"/>
      <c r="L40" s="1619"/>
      <c r="M40" s="1619"/>
      <c r="N40" s="1619"/>
      <c r="O40" s="1619"/>
      <c r="P40" s="1620"/>
    </row>
    <row r="41" spans="2:16" ht="40.15" customHeight="1" thickBot="1">
      <c r="B41" s="1626"/>
      <c r="C41" s="512" t="s">
        <v>418</v>
      </c>
      <c r="D41" s="1460"/>
      <c r="E41" s="510" t="s">
        <v>479</v>
      </c>
      <c r="H41" s="1628" t="s">
        <v>478</v>
      </c>
      <c r="I41" s="1629"/>
      <c r="J41" s="1629"/>
      <c r="K41" s="1629"/>
      <c r="L41" s="1629"/>
      <c r="M41" s="1629"/>
      <c r="N41" s="1629"/>
      <c r="O41" s="1629"/>
      <c r="P41" s="1630"/>
    </row>
    <row r="42" spans="2:16" ht="42" customHeight="1" thickTop="1" thickBot="1">
      <c r="B42" s="511" t="s">
        <v>499</v>
      </c>
      <c r="C42" s="513" t="s">
        <v>498</v>
      </c>
      <c r="D42" s="1461"/>
      <c r="E42" s="509" t="s">
        <v>380</v>
      </c>
      <c r="H42" s="1636" t="s">
        <v>577</v>
      </c>
      <c r="I42" s="1637"/>
      <c r="J42" s="1637"/>
      <c r="K42" s="1637"/>
      <c r="L42" s="1637"/>
      <c r="M42" s="1637"/>
      <c r="N42" s="1637"/>
      <c r="O42" s="1637"/>
      <c r="P42" s="1638"/>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B2:C2"/>
    <mergeCell ref="H4:P4"/>
    <mergeCell ref="B16:C16"/>
    <mergeCell ref="B17:C17"/>
    <mergeCell ref="B20:C20"/>
    <mergeCell ref="B11:C11"/>
    <mergeCell ref="B12:C12"/>
    <mergeCell ref="B13:C13"/>
    <mergeCell ref="B14:C14"/>
    <mergeCell ref="B15:C15"/>
    <mergeCell ref="H42:P42"/>
    <mergeCell ref="H38:P38"/>
    <mergeCell ref="B21:B22"/>
    <mergeCell ref="H26:P26"/>
    <mergeCell ref="H30:P30"/>
    <mergeCell ref="H29:P29"/>
    <mergeCell ref="H37:P37"/>
    <mergeCell ref="B23:B25"/>
    <mergeCell ref="H24:P24"/>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16" t="s">
        <v>27</v>
      </c>
      <c r="C9" s="1635"/>
      <c r="D9" s="1449"/>
      <c r="E9" s="373"/>
      <c r="H9" s="404"/>
    </row>
    <row r="10" spans="1:10" ht="30" customHeight="1" thickTop="1">
      <c r="B10" s="1616" t="s">
        <v>114</v>
      </c>
      <c r="C10" s="1635"/>
      <c r="D10" s="1463"/>
      <c r="E10" s="360" t="s">
        <v>747</v>
      </c>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201" t="s">
        <v>1039</v>
      </c>
      <c r="D22" s="1466"/>
      <c r="E22" s="408" t="s">
        <v>413</v>
      </c>
      <c r="H22" s="1676"/>
    </row>
    <row r="23" spans="2:8" ht="36" customHeight="1" thickTop="1" thickBot="1">
      <c r="B23" s="1679" t="s">
        <v>74</v>
      </c>
      <c r="C23" s="1680"/>
      <c r="D23" s="676"/>
      <c r="E23" s="715" t="s">
        <v>115</v>
      </c>
      <c r="H23" s="714" t="s">
        <v>748</v>
      </c>
    </row>
    <row r="24" spans="2:8" ht="30" customHeight="1" thickTop="1">
      <c r="B24" s="1666" t="s">
        <v>699</v>
      </c>
      <c r="C24" s="553" t="s">
        <v>58</v>
      </c>
      <c r="D24" s="1459"/>
      <c r="E24" s="392"/>
      <c r="H24" s="1673" t="s">
        <v>1030</v>
      </c>
    </row>
    <row r="25" spans="2:8" ht="30" customHeight="1" thickBot="1">
      <c r="B25" s="1667"/>
      <c r="C25" s="508" t="s">
        <v>356</v>
      </c>
      <c r="D25" s="1470"/>
      <c r="E25" s="360" t="s">
        <v>357</v>
      </c>
      <c r="H25" s="1681"/>
    </row>
    <row r="26" spans="2:8" ht="30" customHeight="1" thickTop="1" thickBot="1">
      <c r="B26" s="1667"/>
      <c r="C26" s="562" t="s">
        <v>217</v>
      </c>
      <c r="D26" s="1210" t="e">
        <f>ROUNDDOWN($D25/$J$4,2)</f>
        <v>#DIV/0!</v>
      </c>
      <c r="E26" s="360" t="s">
        <v>107</v>
      </c>
      <c r="H26" s="714" t="s">
        <v>698</v>
      </c>
    </row>
    <row r="27" spans="2:8" ht="30" customHeight="1" thickTop="1">
      <c r="B27" s="1667"/>
      <c r="C27" s="508" t="s">
        <v>75</v>
      </c>
      <c r="D27" s="1471"/>
      <c r="E27" s="374" t="s">
        <v>691</v>
      </c>
      <c r="H27" s="404"/>
    </row>
    <row r="28" spans="2:8" ht="30" customHeight="1" thickBot="1">
      <c r="B28" s="1667"/>
      <c r="C28" s="508" t="s">
        <v>76</v>
      </c>
      <c r="D28" s="1472"/>
      <c r="E28" s="359" t="s">
        <v>691</v>
      </c>
      <c r="H28" s="404"/>
    </row>
    <row r="29" spans="2:8" ht="30" customHeight="1" thickTop="1">
      <c r="B29" s="1628" t="s">
        <v>647</v>
      </c>
      <c r="C29" s="555" t="s">
        <v>389</v>
      </c>
      <c r="D29" s="1473"/>
      <c r="E29" s="362" t="s">
        <v>108</v>
      </c>
      <c r="H29" s="405" t="s">
        <v>409</v>
      </c>
    </row>
    <row r="30" spans="2:8" ht="30" customHeight="1">
      <c r="B30" s="1521"/>
      <c r="C30" s="554" t="s">
        <v>77</v>
      </c>
      <c r="D30" s="1474"/>
      <c r="E30" s="362"/>
      <c r="H30" s="404"/>
    </row>
    <row r="31" spans="2:8" ht="30" customHeight="1">
      <c r="B31" s="1521"/>
      <c r="C31" s="508" t="s">
        <v>59</v>
      </c>
      <c r="D31" s="1475"/>
      <c r="E31" s="362"/>
      <c r="H31" s="404"/>
    </row>
    <row r="32" spans="2:8" ht="30" customHeight="1">
      <c r="B32" s="1521"/>
      <c r="C32" s="508" t="s">
        <v>78</v>
      </c>
      <c r="D32" s="1475"/>
      <c r="E32" s="362"/>
      <c r="H32" s="405" t="s">
        <v>410</v>
      </c>
    </row>
    <row r="33" spans="2:8" ht="30" customHeight="1" thickBot="1">
      <c r="B33" s="1666"/>
      <c r="C33" s="508" t="s">
        <v>358</v>
      </c>
      <c r="D33" s="1476"/>
      <c r="E33" s="362"/>
      <c r="H33" s="404"/>
    </row>
    <row r="34" spans="2:8" ht="30" customHeight="1" thickTop="1" thickBot="1">
      <c r="B34" s="1667" t="s">
        <v>120</v>
      </c>
      <c r="C34" s="1678"/>
      <c r="D34" s="1461"/>
      <c r="E34" s="375" t="s">
        <v>108</v>
      </c>
      <c r="H34" s="1671" t="s">
        <v>412</v>
      </c>
    </row>
    <row r="35" spans="2:8" ht="30" customHeight="1" thickTop="1" thickBot="1">
      <c r="B35" s="1667" t="s">
        <v>65</v>
      </c>
      <c r="C35" s="1678"/>
      <c r="D35" s="1461"/>
      <c r="E35" s="375" t="s">
        <v>108</v>
      </c>
      <c r="H35" s="1671"/>
    </row>
    <row r="36" spans="2:8" ht="30" customHeight="1" thickTop="1" thickBot="1">
      <c r="B36" s="1669" t="s">
        <v>66</v>
      </c>
      <c r="C36" s="1670"/>
      <c r="D36" s="1461"/>
      <c r="E36" s="393" t="s">
        <v>108</v>
      </c>
      <c r="H36" s="1671"/>
    </row>
    <row r="37" spans="2:8" ht="30" customHeight="1" thickTop="1">
      <c r="B37" s="1521" t="s">
        <v>384</v>
      </c>
      <c r="C37" s="556" t="s">
        <v>58</v>
      </c>
      <c r="D37" s="1463"/>
      <c r="E37" s="392"/>
      <c r="H37" s="1672" t="s">
        <v>1031</v>
      </c>
    </row>
    <row r="38" spans="2:8" ht="30" customHeight="1" thickBot="1">
      <c r="B38" s="1521"/>
      <c r="C38" s="557" t="s">
        <v>356</v>
      </c>
      <c r="D38" s="1477"/>
      <c r="E38" s="360" t="s">
        <v>357</v>
      </c>
      <c r="H38" s="1672"/>
    </row>
    <row r="39" spans="2:8" ht="30" customHeight="1" thickTop="1" thickBot="1">
      <c r="B39" s="1521"/>
      <c r="C39" s="562" t="s">
        <v>217</v>
      </c>
      <c r="D39" s="1210" t="e">
        <f>ROUNDDOWN($D38/$J$4,2)</f>
        <v>#DIV/0!</v>
      </c>
      <c r="E39" s="360" t="s">
        <v>107</v>
      </c>
      <c r="H39" s="714" t="s">
        <v>698</v>
      </c>
    </row>
    <row r="40" spans="2:8" ht="30" customHeight="1" thickTop="1">
      <c r="B40" s="1521"/>
      <c r="C40" s="557" t="s">
        <v>75</v>
      </c>
      <c r="D40" s="1478"/>
      <c r="E40" s="374" t="s">
        <v>691</v>
      </c>
      <c r="H40" s="404"/>
    </row>
    <row r="41" spans="2:8" ht="30" customHeight="1" thickBot="1">
      <c r="B41" s="1521"/>
      <c r="C41" s="557" t="s">
        <v>76</v>
      </c>
      <c r="D41" s="1457"/>
      <c r="E41" s="359" t="s">
        <v>691</v>
      </c>
      <c r="H41" s="404"/>
    </row>
    <row r="42" spans="2:8" ht="30" customHeight="1" thickTop="1">
      <c r="B42" s="1628" t="s">
        <v>385</v>
      </c>
      <c r="C42" s="557" t="s">
        <v>58</v>
      </c>
      <c r="D42" s="1459"/>
      <c r="E42" s="360"/>
      <c r="H42" s="404"/>
    </row>
    <row r="43" spans="2:8" ht="30" customHeight="1" thickBot="1">
      <c r="B43" s="1521"/>
      <c r="C43" s="557" t="s">
        <v>356</v>
      </c>
      <c r="D43" s="1477"/>
      <c r="E43" s="360" t="s">
        <v>357</v>
      </c>
      <c r="H43" s="404" t="s">
        <v>1032</v>
      </c>
    </row>
    <row r="44" spans="2:8" ht="30" customHeight="1" thickTop="1" thickBot="1">
      <c r="B44" s="1521"/>
      <c r="C44" s="562" t="s">
        <v>217</v>
      </c>
      <c r="D44" s="1210" t="e">
        <f>ROUNDDOWN($D43/$J$4,2)</f>
        <v>#DIV/0!</v>
      </c>
      <c r="E44" s="360" t="s">
        <v>107</v>
      </c>
      <c r="H44" s="714" t="s">
        <v>698</v>
      </c>
    </row>
    <row r="45" spans="2:8" ht="30" customHeight="1" thickTop="1">
      <c r="B45" s="1521"/>
      <c r="C45" s="557" t="s">
        <v>75</v>
      </c>
      <c r="D45" s="1478"/>
      <c r="E45" s="374" t="s">
        <v>691</v>
      </c>
      <c r="H45" s="404"/>
    </row>
    <row r="46" spans="2:8" ht="30" customHeight="1" thickBot="1">
      <c r="B46" s="1521"/>
      <c r="C46" s="557" t="s">
        <v>76</v>
      </c>
      <c r="D46" s="1457"/>
      <c r="E46" s="359" t="s">
        <v>691</v>
      </c>
      <c r="H46" s="404"/>
    </row>
    <row r="47" spans="2:8" ht="30" customHeight="1" thickTop="1">
      <c r="B47" s="1628" t="s">
        <v>386</v>
      </c>
      <c r="C47" s="557" t="s">
        <v>58</v>
      </c>
      <c r="D47" s="1459"/>
      <c r="E47" s="360"/>
      <c r="H47" s="716" t="s">
        <v>700</v>
      </c>
    </row>
    <row r="48" spans="2:8" ht="30" customHeight="1" thickBot="1">
      <c r="B48" s="1521"/>
      <c r="C48" s="557" t="s">
        <v>356</v>
      </c>
      <c r="D48" s="1477"/>
      <c r="E48" s="360" t="s">
        <v>357</v>
      </c>
      <c r="H48" s="404" t="s">
        <v>1032</v>
      </c>
    </row>
    <row r="49" spans="2:8" ht="30" customHeight="1" thickTop="1" thickBot="1">
      <c r="B49" s="1521"/>
      <c r="C49" s="562" t="s">
        <v>217</v>
      </c>
      <c r="D49" s="1210" t="e">
        <f>ROUNDDOWN($D48/$J$4,2)</f>
        <v>#DIV/0!</v>
      </c>
      <c r="E49" s="360" t="s">
        <v>107</v>
      </c>
      <c r="H49" s="714" t="s">
        <v>698</v>
      </c>
    </row>
    <row r="50" spans="2:8" ht="30" customHeight="1" thickTop="1">
      <c r="B50" s="1521"/>
      <c r="C50" s="557" t="s">
        <v>75</v>
      </c>
      <c r="D50" s="1478"/>
      <c r="E50" s="374" t="s">
        <v>691</v>
      </c>
      <c r="H50" s="404"/>
    </row>
    <row r="51" spans="2:8" ht="30" customHeight="1" thickBot="1">
      <c r="B51" s="1521"/>
      <c r="C51" s="557" t="s">
        <v>76</v>
      </c>
      <c r="D51" s="1457"/>
      <c r="E51" s="359" t="s">
        <v>691</v>
      </c>
      <c r="H51" s="404"/>
    </row>
    <row r="52" spans="2:8" ht="30" customHeight="1" thickTop="1">
      <c r="B52" s="1628" t="s">
        <v>387</v>
      </c>
      <c r="C52" s="558" t="s">
        <v>388</v>
      </c>
      <c r="D52" s="1473"/>
      <c r="E52" s="362" t="s">
        <v>108</v>
      </c>
      <c r="H52" s="405" t="s">
        <v>411</v>
      </c>
    </row>
    <row r="53" spans="2:8" ht="30" customHeight="1">
      <c r="B53" s="1521"/>
      <c r="C53" s="559" t="s">
        <v>77</v>
      </c>
      <c r="D53" s="1474"/>
      <c r="E53" s="362"/>
      <c r="H53" s="405"/>
    </row>
    <row r="54" spans="2:8" ht="30" customHeight="1">
      <c r="B54" s="1521"/>
      <c r="C54" s="501" t="s">
        <v>59</v>
      </c>
      <c r="D54" s="1475"/>
      <c r="E54" s="362"/>
      <c r="H54" s="404"/>
    </row>
    <row r="55" spans="2:8" ht="30" customHeight="1">
      <c r="B55" s="1521"/>
      <c r="C55" s="501" t="s">
        <v>78</v>
      </c>
      <c r="D55" s="1475"/>
      <c r="E55" s="362"/>
      <c r="H55" s="404"/>
    </row>
    <row r="56" spans="2:8" ht="30" customHeight="1" thickBot="1">
      <c r="B56" s="1677"/>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H34:H36"/>
    <mergeCell ref="H37:H38"/>
    <mergeCell ref="H17:H22"/>
    <mergeCell ref="B52:B56"/>
    <mergeCell ref="B13:C13"/>
    <mergeCell ref="B23:C23"/>
    <mergeCell ref="B34:C34"/>
    <mergeCell ref="B35:C35"/>
    <mergeCell ref="H24:H25"/>
    <mergeCell ref="B6:C6"/>
    <mergeCell ref="B24:B28"/>
    <mergeCell ref="B37:B41"/>
    <mergeCell ref="B42:B46"/>
    <mergeCell ref="B47:B51"/>
    <mergeCell ref="B29:B33"/>
    <mergeCell ref="B15:B16"/>
    <mergeCell ref="B17:B22"/>
    <mergeCell ref="B11:B12"/>
    <mergeCell ref="B10:C10"/>
    <mergeCell ref="B9:C9"/>
    <mergeCell ref="B36:C36"/>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16" t="s">
        <v>27</v>
      </c>
      <c r="C9" s="1635"/>
      <c r="D9" s="1449"/>
      <c r="E9" s="373"/>
      <c r="H9" s="404"/>
    </row>
    <row r="10" spans="1:10" ht="30" customHeight="1" thickTop="1">
      <c r="B10" s="1616" t="s">
        <v>114</v>
      </c>
      <c r="C10" s="1635"/>
      <c r="D10" s="1463"/>
      <c r="E10" s="360"/>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394" t="s">
        <v>1039</v>
      </c>
      <c r="D22" s="1466"/>
      <c r="E22" s="408" t="s">
        <v>413</v>
      </c>
      <c r="H22" s="1676"/>
    </row>
    <row r="23" spans="2:8" ht="30" customHeight="1" thickTop="1">
      <c r="B23" s="1682" t="s">
        <v>383</v>
      </c>
      <c r="C23" s="553" t="s">
        <v>58</v>
      </c>
      <c r="D23" s="1459"/>
      <c r="E23" s="392"/>
      <c r="H23" s="1673" t="s">
        <v>1030</v>
      </c>
    </row>
    <row r="24" spans="2:8" ht="30" customHeight="1" thickBot="1">
      <c r="B24" s="1667"/>
      <c r="C24" s="508" t="s">
        <v>356</v>
      </c>
      <c r="D24" s="1479"/>
      <c r="E24" s="360" t="s">
        <v>357</v>
      </c>
      <c r="H24" s="1681"/>
    </row>
    <row r="25" spans="2:8" ht="30" customHeight="1" thickTop="1" thickBot="1">
      <c r="B25" s="1667"/>
      <c r="C25" s="554" t="s">
        <v>217</v>
      </c>
      <c r="D25" s="1210" t="e">
        <f>ROUNDDOWN($D24/$J$4,2)</f>
        <v>#DIV/0!</v>
      </c>
      <c r="E25" s="360" t="s">
        <v>107</v>
      </c>
      <c r="H25" s="714" t="s">
        <v>698</v>
      </c>
    </row>
    <row r="26" spans="2:8" ht="30" customHeight="1" thickTop="1">
      <c r="B26" s="1667"/>
      <c r="C26" s="508" t="s">
        <v>75</v>
      </c>
      <c r="D26" s="1478"/>
      <c r="E26" s="374" t="s">
        <v>691</v>
      </c>
      <c r="H26" s="404"/>
    </row>
    <row r="27" spans="2:8" ht="30" customHeight="1" thickBot="1">
      <c r="B27" s="1667"/>
      <c r="C27" s="508" t="s">
        <v>76</v>
      </c>
      <c r="D27" s="1457"/>
      <c r="E27" s="359" t="s">
        <v>691</v>
      </c>
      <c r="H27" s="404"/>
    </row>
    <row r="28" spans="2:8" ht="30" customHeight="1" thickTop="1">
      <c r="B28" s="1628" t="s">
        <v>647</v>
      </c>
      <c r="C28" s="555" t="s">
        <v>389</v>
      </c>
      <c r="D28" s="1473"/>
      <c r="E28" s="362" t="s">
        <v>108</v>
      </c>
      <c r="H28" s="595" t="s">
        <v>409</v>
      </c>
    </row>
    <row r="29" spans="2:8" ht="30" customHeight="1">
      <c r="B29" s="1521"/>
      <c r="C29" s="554" t="s">
        <v>77</v>
      </c>
      <c r="D29" s="1474"/>
      <c r="E29" s="362"/>
      <c r="H29" s="404"/>
    </row>
    <row r="30" spans="2:8" ht="30" customHeight="1">
      <c r="B30" s="1521"/>
      <c r="C30" s="508" t="s">
        <v>59</v>
      </c>
      <c r="D30" s="1475"/>
      <c r="E30" s="362"/>
      <c r="H30" s="404"/>
    </row>
    <row r="31" spans="2:8" ht="30" customHeight="1">
      <c r="B31" s="1521"/>
      <c r="C31" s="508" t="s">
        <v>78</v>
      </c>
      <c r="D31" s="1475"/>
      <c r="E31" s="362"/>
      <c r="H31" s="595" t="s">
        <v>410</v>
      </c>
    </row>
    <row r="32" spans="2:8" ht="30" customHeight="1" thickBot="1">
      <c r="B32" s="1666"/>
      <c r="C32" s="508" t="s">
        <v>358</v>
      </c>
      <c r="D32" s="1476"/>
      <c r="E32" s="362"/>
      <c r="H32" s="404"/>
    </row>
    <row r="33" spans="2:8" ht="30" customHeight="1" thickTop="1" thickBot="1">
      <c r="B33" s="1667" t="s">
        <v>120</v>
      </c>
      <c r="C33" s="1678"/>
      <c r="D33" s="1461"/>
      <c r="E33" s="375" t="s">
        <v>108</v>
      </c>
      <c r="H33" s="1671" t="s">
        <v>412</v>
      </c>
    </row>
    <row r="34" spans="2:8" ht="30" customHeight="1" thickTop="1" thickBot="1">
      <c r="B34" s="1667" t="s">
        <v>65</v>
      </c>
      <c r="C34" s="1678"/>
      <c r="D34" s="1461"/>
      <c r="E34" s="375" t="s">
        <v>108</v>
      </c>
      <c r="H34" s="1671"/>
    </row>
    <row r="35" spans="2:8" ht="30" customHeight="1" thickTop="1" thickBot="1">
      <c r="B35" s="1669" t="s">
        <v>66</v>
      </c>
      <c r="C35" s="1670"/>
      <c r="D35" s="1461"/>
      <c r="E35" s="393" t="s">
        <v>108</v>
      </c>
      <c r="H35" s="1671"/>
    </row>
    <row r="36" spans="2:8" ht="30" customHeight="1" thickTop="1">
      <c r="B36" s="1521" t="s">
        <v>384</v>
      </c>
      <c r="C36" s="556" t="s">
        <v>58</v>
      </c>
      <c r="D36" s="1459"/>
      <c r="E36" s="392"/>
      <c r="H36" s="1672" t="s">
        <v>1031</v>
      </c>
    </row>
    <row r="37" spans="2:8" ht="30" customHeight="1" thickBot="1">
      <c r="B37" s="1521"/>
      <c r="C37" s="557" t="s">
        <v>356</v>
      </c>
      <c r="D37" s="1479"/>
      <c r="E37" s="360" t="s">
        <v>357</v>
      </c>
      <c r="H37" s="1672"/>
    </row>
    <row r="38" spans="2:8" ht="30" customHeight="1" thickTop="1" thickBot="1">
      <c r="B38" s="1521"/>
      <c r="C38" s="562" t="s">
        <v>217</v>
      </c>
      <c r="D38" s="1210" t="e">
        <f>ROUNDDOWN($D37/$J$4,2)</f>
        <v>#DIV/0!</v>
      </c>
      <c r="E38" s="360" t="s">
        <v>107</v>
      </c>
      <c r="H38" s="714" t="s">
        <v>698</v>
      </c>
    </row>
    <row r="39" spans="2:8" ht="30" customHeight="1" thickTop="1">
      <c r="B39" s="1521"/>
      <c r="C39" s="557" t="s">
        <v>75</v>
      </c>
      <c r="D39" s="1478"/>
      <c r="E39" s="374" t="s">
        <v>691</v>
      </c>
      <c r="H39" s="404"/>
    </row>
    <row r="40" spans="2:8" ht="30" customHeight="1" thickBot="1">
      <c r="B40" s="1521"/>
      <c r="C40" s="557" t="s">
        <v>76</v>
      </c>
      <c r="D40" s="1457"/>
      <c r="E40" s="359" t="s">
        <v>691</v>
      </c>
      <c r="H40" s="404"/>
    </row>
    <row r="41" spans="2:8" ht="30" customHeight="1" thickTop="1">
      <c r="B41" s="1628" t="s">
        <v>385</v>
      </c>
      <c r="C41" s="557" t="s">
        <v>58</v>
      </c>
      <c r="D41" s="1459"/>
      <c r="E41" s="360"/>
      <c r="H41" s="404"/>
    </row>
    <row r="42" spans="2:8" ht="30" customHeight="1" thickBot="1">
      <c r="B42" s="1521"/>
      <c r="C42" s="557" t="s">
        <v>356</v>
      </c>
      <c r="D42" s="1479"/>
      <c r="E42" s="360" t="s">
        <v>357</v>
      </c>
      <c r="H42" s="404" t="s">
        <v>1032</v>
      </c>
    </row>
    <row r="43" spans="2:8" ht="30" customHeight="1" thickTop="1" thickBot="1">
      <c r="B43" s="1521"/>
      <c r="C43" s="562" t="s">
        <v>217</v>
      </c>
      <c r="D43" s="1210" t="e">
        <f>ROUNDDOWN($D42/$J$4,2)</f>
        <v>#DIV/0!</v>
      </c>
      <c r="E43" s="360" t="s">
        <v>107</v>
      </c>
      <c r="H43" s="714" t="s">
        <v>698</v>
      </c>
    </row>
    <row r="44" spans="2:8" ht="30" customHeight="1" thickTop="1">
      <c r="B44" s="1521"/>
      <c r="C44" s="557" t="s">
        <v>75</v>
      </c>
      <c r="D44" s="1478"/>
      <c r="E44" s="374"/>
      <c r="H44" s="404"/>
    </row>
    <row r="45" spans="2:8" ht="30" customHeight="1" thickBot="1">
      <c r="B45" s="1521"/>
      <c r="C45" s="557" t="s">
        <v>76</v>
      </c>
      <c r="D45" s="1457"/>
      <c r="E45" s="359"/>
      <c r="H45" s="404"/>
    </row>
    <row r="46" spans="2:8" ht="30" customHeight="1" thickTop="1">
      <c r="B46" s="1628" t="s">
        <v>386</v>
      </c>
      <c r="C46" s="557" t="s">
        <v>58</v>
      </c>
      <c r="D46" s="1459"/>
      <c r="E46" s="360"/>
      <c r="H46" s="404"/>
    </row>
    <row r="47" spans="2:8" ht="30" customHeight="1" thickBot="1">
      <c r="B47" s="1521"/>
      <c r="C47" s="557" t="s">
        <v>356</v>
      </c>
      <c r="D47" s="1479"/>
      <c r="E47" s="360" t="s">
        <v>357</v>
      </c>
      <c r="H47" s="404" t="s">
        <v>1032</v>
      </c>
    </row>
    <row r="48" spans="2:8" ht="30" customHeight="1" thickTop="1" thickBot="1">
      <c r="B48" s="1521"/>
      <c r="C48" s="562" t="s">
        <v>217</v>
      </c>
      <c r="D48" s="1210" t="e">
        <f>ROUNDDOWN($D47/$J$4,2)</f>
        <v>#DIV/0!</v>
      </c>
      <c r="E48" s="360" t="s">
        <v>107</v>
      </c>
      <c r="H48" s="714" t="s">
        <v>698</v>
      </c>
    </row>
    <row r="49" spans="2:8" ht="30" customHeight="1" thickTop="1">
      <c r="B49" s="1521"/>
      <c r="C49" s="557" t="s">
        <v>75</v>
      </c>
      <c r="D49" s="1478"/>
      <c r="E49" s="374" t="s">
        <v>691</v>
      </c>
      <c r="H49" s="404"/>
    </row>
    <row r="50" spans="2:8" ht="30" customHeight="1" thickBot="1">
      <c r="B50" s="1521"/>
      <c r="C50" s="557" t="s">
        <v>76</v>
      </c>
      <c r="D50" s="1457"/>
      <c r="E50" s="359" t="s">
        <v>691</v>
      </c>
      <c r="H50" s="404"/>
    </row>
    <row r="51" spans="2:8" ht="30" customHeight="1" thickTop="1">
      <c r="B51" s="1628" t="s">
        <v>387</v>
      </c>
      <c r="C51" s="558" t="s">
        <v>388</v>
      </c>
      <c r="D51" s="1473"/>
      <c r="E51" s="362" t="s">
        <v>108</v>
      </c>
      <c r="H51" s="595" t="s">
        <v>411</v>
      </c>
    </row>
    <row r="52" spans="2:8" ht="30" customHeight="1">
      <c r="B52" s="1521"/>
      <c r="C52" s="559" t="s">
        <v>77</v>
      </c>
      <c r="D52" s="1474"/>
      <c r="E52" s="362"/>
      <c r="H52" s="595"/>
    </row>
    <row r="53" spans="2:8" ht="30" customHeight="1">
      <c r="B53" s="1521"/>
      <c r="C53" s="501" t="s">
        <v>59</v>
      </c>
      <c r="D53" s="1475"/>
      <c r="E53" s="362"/>
      <c r="H53" s="404"/>
    </row>
    <row r="54" spans="2:8" ht="30" customHeight="1">
      <c r="B54" s="1521"/>
      <c r="C54" s="501" t="s">
        <v>78</v>
      </c>
      <c r="D54" s="1475"/>
      <c r="E54" s="362"/>
      <c r="H54" s="404"/>
    </row>
    <row r="55" spans="2:8" ht="30" customHeight="1" thickBot="1">
      <c r="B55" s="1677"/>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15:B16"/>
    <mergeCell ref="B6:C6"/>
    <mergeCell ref="B9:C9"/>
    <mergeCell ref="B10:C10"/>
    <mergeCell ref="B11:B12"/>
    <mergeCell ref="B13:C13"/>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H5" sqref="H5"/>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30" t="s">
        <v>419</v>
      </c>
      <c r="I6" s="1531"/>
      <c r="J6" s="1531"/>
      <c r="K6" s="1531"/>
      <c r="L6" s="1531"/>
      <c r="M6" s="1531"/>
      <c r="N6" s="1531"/>
      <c r="O6" s="1531"/>
      <c r="P6" s="1532"/>
    </row>
    <row r="7" spans="1:16" ht="30" customHeight="1" thickBot="1">
      <c r="B7" s="1720" t="s">
        <v>45</v>
      </c>
      <c r="C7" s="427" t="s">
        <v>61</v>
      </c>
      <c r="D7" s="1501" t="s">
        <v>399</v>
      </c>
      <c r="E7" s="358"/>
      <c r="H7" s="417"/>
      <c r="I7" s="418"/>
      <c r="J7" s="418"/>
      <c r="K7" s="418"/>
      <c r="L7" s="418"/>
      <c r="M7" s="418"/>
      <c r="N7" s="418"/>
      <c r="O7" s="418"/>
      <c r="P7" s="419"/>
    </row>
    <row r="8" spans="1:16" ht="30" customHeight="1" thickTop="1" thickBot="1">
      <c r="B8" s="1514"/>
      <c r="C8" s="428" t="s">
        <v>162</v>
      </c>
      <c r="D8" s="676"/>
      <c r="E8" s="359" t="s">
        <v>380</v>
      </c>
      <c r="H8" s="1543" t="s">
        <v>1067</v>
      </c>
      <c r="I8" s="1544"/>
      <c r="J8" s="1544"/>
      <c r="K8" s="1544"/>
      <c r="L8" s="1544"/>
      <c r="M8" s="1544"/>
      <c r="N8" s="1544"/>
      <c r="O8" s="1544"/>
      <c r="P8" s="1545"/>
    </row>
    <row r="9" spans="1:16" ht="19.899999999999999" customHeight="1" thickTop="1">
      <c r="B9" s="1514"/>
      <c r="C9" s="428" t="s">
        <v>581</v>
      </c>
      <c r="D9" s="1212" t="str">
        <f>IF($D$8="","",VLOOKUP($D$8,祝日!$L$28:$W$44,10))</f>
        <v/>
      </c>
      <c r="E9" s="359"/>
      <c r="H9" s="1543"/>
      <c r="I9" s="1544"/>
      <c r="J9" s="1544"/>
      <c r="K9" s="1544"/>
      <c r="L9" s="1544"/>
      <c r="M9" s="1544"/>
      <c r="N9" s="1544"/>
      <c r="O9" s="1544"/>
      <c r="P9" s="1545"/>
    </row>
    <row r="10" spans="1:16" ht="19.899999999999999" customHeight="1">
      <c r="B10" s="1514"/>
      <c r="C10" s="428" t="s">
        <v>614</v>
      </c>
      <c r="D10" s="1213" t="str">
        <f>IF($D$8="","",VLOOKUP($D$8,祝日!$L$28:$W$44,11))</f>
        <v/>
      </c>
      <c r="E10" s="359"/>
      <c r="H10" s="1543"/>
      <c r="I10" s="1544"/>
      <c r="J10" s="1544"/>
      <c r="K10" s="1544"/>
      <c r="L10" s="1544"/>
      <c r="M10" s="1544"/>
      <c r="N10" s="1544"/>
      <c r="O10" s="1544"/>
      <c r="P10" s="1545"/>
    </row>
    <row r="11" spans="1:16" ht="19.899999999999999" customHeight="1" thickBot="1">
      <c r="B11" s="1721"/>
      <c r="C11" s="1127" t="s">
        <v>582</v>
      </c>
      <c r="D11" s="1214" t="str">
        <f>IF($D$8="","",VLOOKUP($D$8,祝日!$L$28:$W$44,12))</f>
        <v/>
      </c>
      <c r="E11" s="1128"/>
      <c r="H11" s="1543"/>
      <c r="I11" s="1544"/>
      <c r="J11" s="1544"/>
      <c r="K11" s="1544"/>
      <c r="L11" s="1544"/>
      <c r="M11" s="1544"/>
      <c r="N11" s="1544"/>
      <c r="O11" s="1544"/>
      <c r="P11" s="1545"/>
    </row>
    <row r="12" spans="1:16" ht="30" customHeight="1" thickTop="1" thickBot="1">
      <c r="B12" s="1683" t="s">
        <v>1069</v>
      </c>
      <c r="C12" s="1684"/>
      <c r="D12" s="676"/>
      <c r="E12" s="372" t="s">
        <v>380</v>
      </c>
      <c r="H12" s="1518" t="s">
        <v>1070</v>
      </c>
      <c r="I12" s="1519"/>
      <c r="J12" s="1519"/>
      <c r="K12" s="1519"/>
      <c r="L12" s="1519"/>
      <c r="M12" s="1519"/>
      <c r="N12" s="1519"/>
      <c r="O12" s="1519"/>
      <c r="P12" s="1520"/>
    </row>
    <row r="13" spans="1:16" ht="30" customHeight="1" thickTop="1" thickBot="1">
      <c r="B13" s="1616" t="s">
        <v>335</v>
      </c>
      <c r="C13" s="1635"/>
      <c r="D13" s="676"/>
      <c r="E13" s="372" t="s">
        <v>380</v>
      </c>
      <c r="H13" s="1518" t="s">
        <v>815</v>
      </c>
      <c r="I13" s="1519"/>
      <c r="J13" s="1519"/>
      <c r="K13" s="1519"/>
      <c r="L13" s="1519"/>
      <c r="M13" s="1519"/>
      <c r="N13" s="1519"/>
      <c r="O13" s="1519"/>
      <c r="P13" s="1520"/>
    </row>
    <row r="14" spans="1:16" ht="42" customHeight="1" thickTop="1" thickBot="1">
      <c r="B14" s="1616" t="s">
        <v>1064</v>
      </c>
      <c r="C14" s="1635"/>
      <c r="D14" s="1480"/>
      <c r="E14" s="359" t="s">
        <v>380</v>
      </c>
      <c r="G14" s="1087"/>
      <c r="H14" s="1685" t="s">
        <v>1071</v>
      </c>
      <c r="I14" s="1544"/>
      <c r="J14" s="1544"/>
      <c r="K14" s="1544"/>
      <c r="L14" s="1544"/>
      <c r="M14" s="1544"/>
      <c r="N14" s="1544"/>
      <c r="O14" s="1544"/>
      <c r="P14" s="1545"/>
    </row>
    <row r="15" spans="1:16" ht="42" customHeight="1" thickTop="1" thickBot="1">
      <c r="B15" s="1633" t="s">
        <v>1139</v>
      </c>
      <c r="C15" s="1634"/>
      <c r="D15" s="1480"/>
      <c r="E15" s="359" t="s">
        <v>380</v>
      </c>
      <c r="G15" s="1087"/>
      <c r="H15" s="1688" t="s">
        <v>1142</v>
      </c>
      <c r="I15" s="1689"/>
      <c r="J15" s="1689"/>
      <c r="K15" s="1689"/>
      <c r="L15" s="1689"/>
      <c r="M15" s="1689"/>
      <c r="N15" s="1689"/>
      <c r="O15" s="1689"/>
      <c r="P15" s="1690"/>
    </row>
    <row r="16" spans="1:16" ht="42" customHeight="1" thickTop="1" thickBot="1">
      <c r="B16" s="1633" t="s">
        <v>1140</v>
      </c>
      <c r="C16" s="1634"/>
      <c r="D16" s="1480"/>
      <c r="E16" s="359" t="s">
        <v>380</v>
      </c>
      <c r="G16" s="1087"/>
      <c r="H16" s="1688" t="s">
        <v>1141</v>
      </c>
      <c r="I16" s="1689"/>
      <c r="J16" s="1689"/>
      <c r="K16" s="1689"/>
      <c r="L16" s="1689"/>
      <c r="M16" s="1689"/>
      <c r="N16" s="1689"/>
      <c r="O16" s="1689"/>
      <c r="P16" s="1690"/>
    </row>
    <row r="17" spans="2:18" ht="42" customHeight="1" thickTop="1" thickBot="1">
      <c r="B17" s="1686" t="s">
        <v>1065</v>
      </c>
      <c r="C17" s="1687"/>
      <c r="D17" s="1480"/>
      <c r="E17" s="359" t="s">
        <v>380</v>
      </c>
      <c r="G17" s="1087"/>
      <c r="H17" s="1688" t="s">
        <v>1072</v>
      </c>
      <c r="I17" s="1689"/>
      <c r="J17" s="1689"/>
      <c r="K17" s="1689"/>
      <c r="L17" s="1689"/>
      <c r="M17" s="1689"/>
      <c r="N17" s="1689"/>
      <c r="O17" s="1689"/>
      <c r="P17" s="1690"/>
    </row>
    <row r="18" spans="2:18" ht="60" customHeight="1" thickTop="1" thickBot="1">
      <c r="B18" s="1506" t="s">
        <v>16</v>
      </c>
      <c r="C18" s="1507"/>
      <c r="D18" s="1449"/>
      <c r="E18" s="659" t="s">
        <v>422</v>
      </c>
      <c r="H18" s="1543" t="s">
        <v>420</v>
      </c>
      <c r="I18" s="1544"/>
      <c r="J18" s="1544"/>
      <c r="K18" s="1544"/>
      <c r="L18" s="1544"/>
      <c r="M18" s="1544"/>
      <c r="N18" s="431" t="s">
        <v>421</v>
      </c>
      <c r="O18" s="424">
        <f>LEN($D$18)</f>
        <v>0</v>
      </c>
      <c r="P18" s="430" t="s">
        <v>407</v>
      </c>
    </row>
    <row r="19" spans="2:18" s="3" customFormat="1" ht="43.9" customHeight="1" thickTop="1">
      <c r="B19" s="1718" t="s">
        <v>79</v>
      </c>
      <c r="C19" s="1719"/>
      <c r="D19" s="1455"/>
      <c r="E19" s="658" t="s">
        <v>18</v>
      </c>
      <c r="F19" s="253"/>
      <c r="H19" s="1524" t="s">
        <v>807</v>
      </c>
      <c r="I19" s="1528"/>
      <c r="J19" s="1528"/>
      <c r="K19" s="1528"/>
      <c r="L19" s="1528"/>
      <c r="M19" s="1528"/>
      <c r="N19" s="1528"/>
      <c r="O19" s="1528"/>
      <c r="P19" s="1529"/>
      <c r="R19"/>
    </row>
    <row r="20" spans="2:18" s="3" customFormat="1" ht="30" customHeight="1" thickBot="1">
      <c r="B20" s="1506" t="s">
        <v>349</v>
      </c>
      <c r="C20" s="1507"/>
      <c r="D20" s="1472"/>
      <c r="E20" s="260" t="s">
        <v>18</v>
      </c>
      <c r="F20" s="253"/>
      <c r="H20" s="1543" t="s">
        <v>408</v>
      </c>
      <c r="I20" s="1544"/>
      <c r="J20" s="1544"/>
      <c r="K20" s="1544"/>
      <c r="L20" s="1544"/>
      <c r="M20" s="1544"/>
      <c r="N20" s="1544"/>
      <c r="O20" s="1544"/>
      <c r="P20" s="1545"/>
    </row>
    <row r="21" spans="2:18" s="3" customFormat="1" ht="30" customHeight="1" thickTop="1" thickBot="1">
      <c r="B21" s="1694" t="s">
        <v>601</v>
      </c>
      <c r="C21" s="633" t="s">
        <v>602</v>
      </c>
      <c r="D21" s="1215">
        <f>'１１テキスト内訳'!$C$23</f>
        <v>0</v>
      </c>
      <c r="E21" s="624" t="s">
        <v>603</v>
      </c>
      <c r="F21" s="623"/>
      <c r="H21" s="1543" t="s">
        <v>607</v>
      </c>
      <c r="I21" s="1544"/>
      <c r="J21" s="1544"/>
      <c r="K21" s="1544"/>
      <c r="L21" s="1544"/>
      <c r="M21" s="1544"/>
      <c r="N21" s="1544"/>
      <c r="O21" s="1544"/>
      <c r="P21" s="1545"/>
    </row>
    <row r="22" spans="2:18" s="3" customFormat="1" ht="30" customHeight="1" thickTop="1" thickBot="1">
      <c r="B22" s="1695"/>
      <c r="C22" s="632" t="s">
        <v>604</v>
      </c>
      <c r="D22" s="1472"/>
      <c r="E22" s="624" t="s">
        <v>603</v>
      </c>
      <c r="F22" s="623"/>
      <c r="H22" s="1543" t="s">
        <v>1024</v>
      </c>
      <c r="I22" s="1544"/>
      <c r="J22" s="1544"/>
      <c r="K22" s="1544"/>
      <c r="L22" s="1544"/>
      <c r="M22" s="1544"/>
      <c r="N22" s="1544"/>
      <c r="O22" s="1544"/>
      <c r="P22" s="1545"/>
    </row>
    <row r="23" spans="2:18" s="3" customFormat="1" ht="30" customHeight="1" thickTop="1" thickBot="1">
      <c r="B23" s="1696"/>
      <c r="C23" s="632" t="s">
        <v>605</v>
      </c>
      <c r="D23" s="1481"/>
      <c r="E23" s="624"/>
      <c r="F23" s="623"/>
      <c r="H23" s="1543" t="s">
        <v>608</v>
      </c>
      <c r="I23" s="1544"/>
      <c r="J23" s="1544"/>
      <c r="K23" s="1544"/>
      <c r="L23" s="1544"/>
      <c r="M23" s="1544"/>
      <c r="N23" s="1544"/>
      <c r="O23" s="1544"/>
      <c r="P23" s="1545"/>
    </row>
    <row r="24" spans="2:18" ht="30" customHeight="1" thickTop="1">
      <c r="B24" s="1693" t="s">
        <v>110</v>
      </c>
      <c r="C24" s="582" t="s">
        <v>123</v>
      </c>
      <c r="D24" s="1216">
        <f>'５講師名簿'!$C$30</f>
        <v>0</v>
      </c>
      <c r="E24" s="361" t="s">
        <v>18</v>
      </c>
      <c r="H24" s="417" t="s">
        <v>770</v>
      </c>
      <c r="I24" s="418"/>
      <c r="J24" s="418"/>
      <c r="K24" s="418"/>
      <c r="L24" s="418"/>
      <c r="M24" s="418"/>
      <c r="N24" s="418"/>
      <c r="O24" s="418"/>
      <c r="P24" s="419"/>
    </row>
    <row r="25" spans="2:18" ht="30" customHeight="1">
      <c r="B25" s="1539"/>
      <c r="C25" s="582" t="s">
        <v>121</v>
      </c>
      <c r="D25" s="1216">
        <f>'５講師名簿'!$E$30</f>
        <v>0</v>
      </c>
      <c r="E25" s="361" t="s">
        <v>18</v>
      </c>
      <c r="H25" s="417" t="s">
        <v>771</v>
      </c>
      <c r="I25" s="418"/>
      <c r="J25" s="418"/>
      <c r="K25" s="418"/>
      <c r="L25" s="418"/>
      <c r="M25" s="418"/>
      <c r="N25" s="418"/>
      <c r="O25" s="418"/>
      <c r="P25" s="419"/>
    </row>
    <row r="26" spans="2:18" ht="30" customHeight="1">
      <c r="B26" s="1718"/>
      <c r="C26" s="582" t="s">
        <v>122</v>
      </c>
      <c r="D26" s="1216">
        <f>'５講師名簿'!$F$30</f>
        <v>0</v>
      </c>
      <c r="E26" s="361" t="s">
        <v>18</v>
      </c>
      <c r="H26" s="417" t="s">
        <v>772</v>
      </c>
      <c r="I26" s="418"/>
      <c r="J26" s="418"/>
      <c r="K26" s="418"/>
      <c r="L26" s="418"/>
      <c r="M26" s="418"/>
      <c r="N26" s="418"/>
      <c r="O26" s="418"/>
      <c r="P26" s="419"/>
    </row>
    <row r="27" spans="2:18" ht="30" customHeight="1">
      <c r="B27" s="1693" t="s">
        <v>109</v>
      </c>
      <c r="C27" s="583" t="s">
        <v>405</v>
      </c>
      <c r="D27" s="1216">
        <f>'５講師名簿'!$K$30</f>
        <v>0</v>
      </c>
      <c r="E27" s="264" t="s">
        <v>18</v>
      </c>
      <c r="H27" s="417" t="s">
        <v>773</v>
      </c>
      <c r="I27" s="418"/>
      <c r="J27" s="418"/>
      <c r="K27" s="418"/>
      <c r="L27" s="418"/>
      <c r="M27" s="418"/>
      <c r="N27" s="418"/>
      <c r="O27" s="418"/>
      <c r="P27" s="419"/>
    </row>
    <row r="28" spans="2:18" ht="30" customHeight="1">
      <c r="B28" s="1539"/>
      <c r="C28" s="584" t="s">
        <v>406</v>
      </c>
      <c r="D28" s="1216">
        <f>'５講師名簿'!$L$30</f>
        <v>0</v>
      </c>
      <c r="E28" s="264" t="s">
        <v>18</v>
      </c>
      <c r="H28" s="417" t="s">
        <v>774</v>
      </c>
      <c r="I28" s="418"/>
      <c r="J28" s="418"/>
      <c r="K28" s="418"/>
      <c r="L28" s="418"/>
      <c r="M28" s="418"/>
      <c r="N28" s="418"/>
      <c r="O28" s="418"/>
      <c r="P28" s="419"/>
    </row>
    <row r="29" spans="2:18" ht="30" customHeight="1" thickBot="1">
      <c r="B29" s="1718"/>
      <c r="C29" s="582" t="s">
        <v>308</v>
      </c>
      <c r="D29" s="1217">
        <f>'５講師名簿'!$M$30</f>
        <v>0</v>
      </c>
      <c r="E29" s="264" t="s">
        <v>18</v>
      </c>
      <c r="H29" s="417" t="s">
        <v>775</v>
      </c>
      <c r="I29" s="418"/>
      <c r="J29" s="418"/>
      <c r="K29" s="418"/>
      <c r="L29" s="418"/>
      <c r="M29" s="418"/>
      <c r="N29" s="418"/>
      <c r="O29" s="418"/>
      <c r="P29" s="419"/>
    </row>
    <row r="30" spans="2:18" ht="45" customHeight="1" thickTop="1">
      <c r="B30" s="1693" t="s">
        <v>126</v>
      </c>
      <c r="C30" s="555" t="s">
        <v>81</v>
      </c>
      <c r="D30" s="561"/>
      <c r="E30" s="360"/>
      <c r="H30" s="1713" t="s">
        <v>127</v>
      </c>
      <c r="I30" s="1714"/>
      <c r="J30" s="1714"/>
      <c r="K30" s="1714"/>
      <c r="L30" s="1714"/>
      <c r="M30" s="1714"/>
      <c r="N30" s="1714"/>
      <c r="O30" s="1714"/>
      <c r="P30" s="1715"/>
    </row>
    <row r="31" spans="2:18" ht="30.6" customHeight="1" thickBot="1">
      <c r="B31" s="1718"/>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716" t="s">
        <v>271</v>
      </c>
      <c r="C33" s="565" t="s">
        <v>62</v>
      </c>
      <c r="D33" s="561"/>
      <c r="E33" s="359"/>
      <c r="H33" s="1543"/>
      <c r="I33" s="1547"/>
      <c r="J33" s="1547"/>
      <c r="K33" s="1547"/>
      <c r="L33" s="1547"/>
      <c r="M33" s="1547"/>
      <c r="N33" s="1547"/>
      <c r="O33" s="1547"/>
      <c r="P33" s="1548"/>
    </row>
    <row r="34" spans="2:16" ht="30" customHeight="1" thickBot="1">
      <c r="B34" s="1717"/>
      <c r="C34" s="566" t="s">
        <v>124</v>
      </c>
      <c r="D34" s="357"/>
      <c r="E34" s="359"/>
      <c r="H34" s="1543"/>
      <c r="I34" s="1547"/>
      <c r="J34" s="1547"/>
      <c r="K34" s="1547"/>
      <c r="L34" s="1547"/>
      <c r="M34" s="1547"/>
      <c r="N34" s="1547"/>
      <c r="O34" s="1547"/>
      <c r="P34" s="1548"/>
    </row>
    <row r="35" spans="2:16" ht="86.25" customHeight="1" thickTop="1">
      <c r="B35" s="1697" t="s">
        <v>272</v>
      </c>
      <c r="C35" s="565" t="s">
        <v>62</v>
      </c>
      <c r="D35" s="561"/>
      <c r="E35" s="359"/>
      <c r="H35" s="1543" t="s">
        <v>1066</v>
      </c>
      <c r="I35" s="1547"/>
      <c r="J35" s="1547"/>
      <c r="K35" s="1547"/>
      <c r="L35" s="1547"/>
      <c r="M35" s="1547"/>
      <c r="N35" s="1547"/>
      <c r="O35" s="1547"/>
      <c r="P35" s="1548"/>
    </row>
    <row r="36" spans="2:16" ht="45" customHeight="1">
      <c r="B36" s="1698"/>
      <c r="C36" s="565" t="s">
        <v>82</v>
      </c>
      <c r="D36" s="1483"/>
      <c r="E36" s="359"/>
      <c r="H36" s="1543" t="s">
        <v>776</v>
      </c>
      <c r="I36" s="1547"/>
      <c r="J36" s="1547"/>
      <c r="K36" s="1547"/>
      <c r="L36" s="1547"/>
      <c r="M36" s="1547"/>
      <c r="N36" s="1547"/>
      <c r="O36" s="1547"/>
      <c r="P36" s="1548"/>
    </row>
    <row r="37" spans="2:16" ht="40.15" customHeight="1">
      <c r="B37" s="1698"/>
      <c r="C37" s="555" t="s">
        <v>71</v>
      </c>
      <c r="D37" s="1475"/>
      <c r="E37" s="362"/>
      <c r="H37" s="1543" t="s">
        <v>777</v>
      </c>
      <c r="I37" s="1547"/>
      <c r="J37" s="1547"/>
      <c r="K37" s="1547"/>
      <c r="L37" s="1547"/>
      <c r="M37" s="1547"/>
      <c r="N37" s="1547"/>
      <c r="O37" s="1547"/>
      <c r="P37" s="1548"/>
    </row>
    <row r="38" spans="2:16" ht="40.15" customHeight="1">
      <c r="B38" s="1698"/>
      <c r="C38" s="555" t="s">
        <v>360</v>
      </c>
      <c r="D38" s="1475"/>
      <c r="E38" s="362"/>
      <c r="H38" s="1543" t="s">
        <v>778</v>
      </c>
      <c r="I38" s="1547"/>
      <c r="J38" s="1547"/>
      <c r="K38" s="1547"/>
      <c r="L38" s="1547"/>
      <c r="M38" s="1547"/>
      <c r="N38" s="1547"/>
      <c r="O38" s="1547"/>
      <c r="P38" s="1548"/>
    </row>
    <row r="39" spans="2:16" ht="40.15" customHeight="1" thickBot="1">
      <c r="B39" s="1699"/>
      <c r="C39" s="1446" t="s">
        <v>1073</v>
      </c>
      <c r="D39" s="1476"/>
      <c r="E39" s="362"/>
      <c r="H39" s="1700" t="s">
        <v>1097</v>
      </c>
      <c r="I39" s="1701"/>
      <c r="J39" s="1701"/>
      <c r="K39" s="1701"/>
      <c r="L39" s="1701"/>
      <c r="M39" s="1701"/>
      <c r="N39" s="1701"/>
      <c r="O39" s="1701"/>
      <c r="P39" s="1702"/>
    </row>
    <row r="40" spans="2:16" s="39" customFormat="1" ht="140.44999999999999" customHeight="1" thickTop="1" thickBot="1">
      <c r="B40" s="1691" t="s">
        <v>513</v>
      </c>
      <c r="C40" s="1692"/>
      <c r="D40" s="561"/>
      <c r="E40" s="363"/>
      <c r="H40" s="1703" t="s">
        <v>1068</v>
      </c>
      <c r="I40" s="1704"/>
      <c r="J40" s="1704"/>
      <c r="K40" s="1704"/>
      <c r="L40" s="1704"/>
      <c r="M40" s="1704"/>
      <c r="N40" s="431" t="s">
        <v>421</v>
      </c>
      <c r="O40" s="424">
        <f>LEN($D$40)</f>
        <v>0</v>
      </c>
      <c r="P40" s="430" t="s">
        <v>407</v>
      </c>
    </row>
    <row r="41" spans="2:16" s="39" customFormat="1" ht="48" customHeight="1" thickBot="1">
      <c r="B41" s="1691" t="s">
        <v>514</v>
      </c>
      <c r="C41" s="1692"/>
      <c r="D41" s="357"/>
      <c r="E41" s="363"/>
      <c r="H41" s="421"/>
      <c r="I41" s="422"/>
      <c r="J41" s="422"/>
      <c r="K41" s="422"/>
      <c r="L41" s="422"/>
      <c r="M41" s="422"/>
      <c r="N41" s="422"/>
      <c r="O41" s="422"/>
      <c r="P41" s="423"/>
    </row>
    <row r="42" spans="2:16" s="3" customFormat="1" ht="19.899999999999999" customHeight="1" thickTop="1">
      <c r="B42" s="1693" t="s">
        <v>30</v>
      </c>
      <c r="C42" s="567" t="s">
        <v>345</v>
      </c>
      <c r="D42" s="1484" t="s">
        <v>662</v>
      </c>
      <c r="E42" s="425" t="s">
        <v>380</v>
      </c>
      <c r="F42" s="263"/>
      <c r="H42" s="1518" t="s">
        <v>1025</v>
      </c>
      <c r="I42" s="1705"/>
      <c r="J42" s="1705"/>
      <c r="K42" s="1705"/>
      <c r="L42" s="1705"/>
      <c r="M42" s="1705"/>
      <c r="N42" s="1705"/>
      <c r="O42" s="1705"/>
      <c r="P42" s="1706"/>
    </row>
    <row r="43" spans="2:16" s="3" customFormat="1" ht="19.899999999999999" customHeight="1">
      <c r="B43" s="1539"/>
      <c r="C43" s="567" t="s">
        <v>192</v>
      </c>
      <c r="D43" s="1485" t="s">
        <v>662</v>
      </c>
      <c r="E43" s="409" t="s">
        <v>380</v>
      </c>
      <c r="F43" s="255"/>
      <c r="H43" s="1707"/>
      <c r="I43" s="1708"/>
      <c r="J43" s="1708"/>
      <c r="K43" s="1708"/>
      <c r="L43" s="1708"/>
      <c r="M43" s="1708"/>
      <c r="N43" s="1708"/>
      <c r="O43" s="1708"/>
      <c r="P43" s="1709"/>
    </row>
    <row r="44" spans="2:16" s="3" customFormat="1" ht="19.899999999999999" customHeight="1">
      <c r="B44" s="1539"/>
      <c r="C44" s="567" t="s">
        <v>193</v>
      </c>
      <c r="D44" s="1485" t="s">
        <v>662</v>
      </c>
      <c r="E44" s="371" t="s">
        <v>380</v>
      </c>
      <c r="F44" s="263"/>
      <c r="H44" s="1707"/>
      <c r="I44" s="1708"/>
      <c r="J44" s="1708"/>
      <c r="K44" s="1708"/>
      <c r="L44" s="1708"/>
      <c r="M44" s="1708"/>
      <c r="N44" s="1708"/>
      <c r="O44" s="1708"/>
      <c r="P44" s="1709"/>
    </row>
    <row r="45" spans="2:16" s="3" customFormat="1" ht="19.899999999999999" customHeight="1">
      <c r="B45" s="1539"/>
      <c r="C45" s="567" t="s">
        <v>346</v>
      </c>
      <c r="D45" s="1485"/>
      <c r="E45" s="409" t="s">
        <v>380</v>
      </c>
      <c r="F45" s="255"/>
      <c r="H45" s="1707"/>
      <c r="I45" s="1708"/>
      <c r="J45" s="1708"/>
      <c r="K45" s="1708"/>
      <c r="L45" s="1708"/>
      <c r="M45" s="1708"/>
      <c r="N45" s="1708"/>
      <c r="O45" s="1708"/>
      <c r="P45" s="1709"/>
    </row>
    <row r="46" spans="2:16" s="3" customFormat="1" ht="19.899999999999999" customHeight="1">
      <c r="B46" s="1539"/>
      <c r="C46" s="567" t="s">
        <v>194</v>
      </c>
      <c r="D46" s="1485"/>
      <c r="E46" s="371" t="s">
        <v>380</v>
      </c>
      <c r="F46" s="263"/>
      <c r="H46" s="1707"/>
      <c r="I46" s="1708"/>
      <c r="J46" s="1708"/>
      <c r="K46" s="1708"/>
      <c r="L46" s="1708"/>
      <c r="M46" s="1708"/>
      <c r="N46" s="1708"/>
      <c r="O46" s="1708"/>
      <c r="P46" s="1709"/>
    </row>
    <row r="47" spans="2:16" s="3" customFormat="1" ht="19.899999999999999" customHeight="1">
      <c r="B47" s="1539"/>
      <c r="C47" s="567" t="s">
        <v>347</v>
      </c>
      <c r="D47" s="1485"/>
      <c r="E47" s="409" t="s">
        <v>380</v>
      </c>
      <c r="F47" s="255"/>
      <c r="H47" s="1707"/>
      <c r="I47" s="1708"/>
      <c r="J47" s="1708"/>
      <c r="K47" s="1708"/>
      <c r="L47" s="1708"/>
      <c r="M47" s="1708"/>
      <c r="N47" s="1708"/>
      <c r="O47" s="1708"/>
      <c r="P47" s="1709"/>
    </row>
    <row r="48" spans="2:16" s="3" customFormat="1" ht="19.899999999999999" customHeight="1">
      <c r="B48" s="1539"/>
      <c r="C48" s="567" t="s">
        <v>195</v>
      </c>
      <c r="D48" s="1485" t="s">
        <v>662</v>
      </c>
      <c r="E48" s="371" t="s">
        <v>380</v>
      </c>
      <c r="F48" s="263"/>
      <c r="H48" s="1707"/>
      <c r="I48" s="1708"/>
      <c r="J48" s="1708"/>
      <c r="K48" s="1708"/>
      <c r="L48" s="1708"/>
      <c r="M48" s="1708"/>
      <c r="N48" s="1708"/>
      <c r="O48" s="1708"/>
      <c r="P48" s="1709"/>
    </row>
    <row r="49" spans="2:16" s="3" customFormat="1" ht="19.899999999999999" customHeight="1">
      <c r="B49" s="1539"/>
      <c r="C49" s="567" t="s">
        <v>268</v>
      </c>
      <c r="D49" s="1485" t="s">
        <v>662</v>
      </c>
      <c r="E49" s="409" t="s">
        <v>380</v>
      </c>
      <c r="F49" s="255"/>
      <c r="H49" s="1707"/>
      <c r="I49" s="1708"/>
      <c r="J49" s="1708"/>
      <c r="K49" s="1708"/>
      <c r="L49" s="1708"/>
      <c r="M49" s="1708"/>
      <c r="N49" s="1708"/>
      <c r="O49" s="1708"/>
      <c r="P49" s="1709"/>
    </row>
    <row r="50" spans="2:16" s="3" customFormat="1" ht="19.899999999999999" customHeight="1">
      <c r="B50" s="1539"/>
      <c r="C50" s="567" t="s">
        <v>348</v>
      </c>
      <c r="D50" s="1485" t="s">
        <v>662</v>
      </c>
      <c r="E50" s="371" t="s">
        <v>380</v>
      </c>
      <c r="F50" s="263"/>
      <c r="H50" s="1707"/>
      <c r="I50" s="1708"/>
      <c r="J50" s="1708"/>
      <c r="K50" s="1708"/>
      <c r="L50" s="1708"/>
      <c r="M50" s="1708"/>
      <c r="N50" s="1708"/>
      <c r="O50" s="1708"/>
      <c r="P50" s="1709"/>
    </row>
    <row r="51" spans="2:16" s="3" customFormat="1" ht="19.899999999999999" customHeight="1">
      <c r="B51" s="1539"/>
      <c r="C51" s="567" t="s">
        <v>341</v>
      </c>
      <c r="D51" s="1485" t="s">
        <v>662</v>
      </c>
      <c r="E51" s="409" t="s">
        <v>380</v>
      </c>
      <c r="F51" s="255"/>
      <c r="H51" s="1707"/>
      <c r="I51" s="1708"/>
      <c r="J51" s="1708"/>
      <c r="K51" s="1708"/>
      <c r="L51" s="1708"/>
      <c r="M51" s="1708"/>
      <c r="N51" s="1708"/>
      <c r="O51" s="1708"/>
      <c r="P51" s="1709"/>
    </row>
    <row r="52" spans="2:16" s="3" customFormat="1" ht="19.899999999999999" customHeight="1">
      <c r="B52" s="1539"/>
      <c r="C52" s="567" t="s">
        <v>342</v>
      </c>
      <c r="D52" s="1485" t="s">
        <v>662</v>
      </c>
      <c r="E52" s="371" t="s">
        <v>380</v>
      </c>
      <c r="F52" s="263"/>
      <c r="H52" s="1707"/>
      <c r="I52" s="1708"/>
      <c r="J52" s="1708"/>
      <c r="K52" s="1708"/>
      <c r="L52" s="1708"/>
      <c r="M52" s="1708"/>
      <c r="N52" s="1708"/>
      <c r="O52" s="1708"/>
      <c r="P52" s="1709"/>
    </row>
    <row r="53" spans="2:16" s="3" customFormat="1" ht="19.899999999999999" customHeight="1" thickBot="1">
      <c r="B53" s="1541"/>
      <c r="C53" s="568" t="s">
        <v>196</v>
      </c>
      <c r="D53" s="1486" t="s">
        <v>662</v>
      </c>
      <c r="E53" s="426" t="s">
        <v>380</v>
      </c>
      <c r="F53" s="255"/>
      <c r="H53" s="1710"/>
      <c r="I53" s="1711"/>
      <c r="J53" s="1711"/>
      <c r="K53" s="1711"/>
      <c r="L53" s="1711"/>
      <c r="M53" s="1711"/>
      <c r="N53" s="1711"/>
      <c r="O53" s="1711"/>
      <c r="P53" s="1712"/>
    </row>
    <row r="54" spans="2:16">
      <c r="B54" s="23"/>
    </row>
  </sheetData>
  <sheetProtection sheet="1" formatCells="0" formatColumns="0" formatRows="0"/>
  <mergeCells count="46">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１０月別カリキュラム(7月)</vt:lpstr>
      <vt:lpstr>１０月別カリキュラム(8月) </vt:lpstr>
      <vt:lpstr>１０月別カリキュラム(9月)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'１０月別カリキュラム(7月)'!Print_Area</vt:lpstr>
      <vt:lpstr>'１０月別カリキュラム(7月) (デュアル)'!Print_Area</vt:lpstr>
      <vt:lpstr>'１０月別カリキュラム(8月) '!Print_Area</vt:lpstr>
      <vt:lpstr>'１０月別カリキュラム(８月) (デュアル)'!Print_Area</vt:lpstr>
      <vt:lpstr>'１０月別カリキュラム(9月)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2024-01-18T09:41:38Z</dcterms:modified>
</cp:coreProperties>
</file>